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kavaro-my.sharepoint.com/personal/kontakt_kavaro_pl/Documents/Dokumenty/KAVARO/Excel - Szkolenia/Ebooki/The most practical Excel guide - home edition/P2-Personal budget/"/>
    </mc:Choice>
  </mc:AlternateContent>
  <xr:revisionPtr revIDLastSave="296" documentId="11_F25DC773A252ABDACC1048EB215B7EE45ADE58EF" xr6:coauthVersionLast="47" xr6:coauthVersionMax="47" xr10:uidLastSave="{B68618F5-B0ED-4860-A066-3BE4C34E4F39}"/>
  <bookViews>
    <workbookView xWindow="-108" yWindow="-108" windowWidth="23256" windowHeight="12576" xr2:uid="{00000000-000D-0000-FFFF-FFFF00000000}"/>
  </bookViews>
  <sheets>
    <sheet name="Annual 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4" i="1" l="1"/>
  <c r="E114" i="1"/>
  <c r="F114" i="1"/>
  <c r="G114" i="1"/>
  <c r="H114" i="1"/>
  <c r="I114" i="1"/>
  <c r="J114" i="1"/>
  <c r="K114" i="1"/>
  <c r="L114" i="1"/>
  <c r="M114" i="1"/>
  <c r="N114" i="1"/>
  <c r="C114" i="1"/>
  <c r="D122" i="1"/>
  <c r="E122" i="1"/>
  <c r="F122" i="1"/>
  <c r="G122" i="1"/>
  <c r="H122" i="1"/>
  <c r="I122" i="1"/>
  <c r="J122" i="1"/>
  <c r="K122" i="1"/>
  <c r="L122" i="1"/>
  <c r="M122" i="1"/>
  <c r="N122" i="1"/>
  <c r="C122" i="1"/>
  <c r="D130" i="1"/>
  <c r="E130" i="1"/>
  <c r="F130" i="1"/>
  <c r="G130" i="1"/>
  <c r="H130" i="1"/>
  <c r="I130" i="1"/>
  <c r="J130" i="1"/>
  <c r="K130" i="1"/>
  <c r="L130" i="1"/>
  <c r="M130" i="1"/>
  <c r="N130" i="1"/>
  <c r="C130" i="1"/>
  <c r="D142" i="1"/>
  <c r="E142" i="1"/>
  <c r="F142" i="1"/>
  <c r="G142" i="1"/>
  <c r="H142" i="1"/>
  <c r="I142" i="1"/>
  <c r="J142" i="1"/>
  <c r="K142" i="1"/>
  <c r="L142" i="1"/>
  <c r="M142" i="1"/>
  <c r="N142" i="1"/>
  <c r="C142" i="1"/>
  <c r="D150" i="1"/>
  <c r="E150" i="1"/>
  <c r="F150" i="1"/>
  <c r="G150" i="1"/>
  <c r="H150" i="1"/>
  <c r="I150" i="1"/>
  <c r="J150" i="1"/>
  <c r="K150" i="1"/>
  <c r="L150" i="1"/>
  <c r="M150" i="1"/>
  <c r="N150" i="1"/>
  <c r="C150" i="1"/>
  <c r="D165" i="1"/>
  <c r="E165" i="1"/>
  <c r="F165" i="1"/>
  <c r="G165" i="1"/>
  <c r="H165" i="1"/>
  <c r="I165" i="1"/>
  <c r="J165" i="1"/>
  <c r="K165" i="1"/>
  <c r="L165" i="1"/>
  <c r="M165" i="1"/>
  <c r="N165" i="1"/>
  <c r="C165" i="1"/>
  <c r="D173" i="1"/>
  <c r="E173" i="1"/>
  <c r="F173" i="1"/>
  <c r="G173" i="1"/>
  <c r="H173" i="1"/>
  <c r="I173" i="1"/>
  <c r="J173" i="1"/>
  <c r="K173" i="1"/>
  <c r="L173" i="1"/>
  <c r="M173" i="1"/>
  <c r="N173" i="1"/>
  <c r="C173" i="1"/>
  <c r="D182" i="1"/>
  <c r="E182" i="1"/>
  <c r="F182" i="1"/>
  <c r="G182" i="1"/>
  <c r="H182" i="1"/>
  <c r="I182" i="1"/>
  <c r="J182" i="1"/>
  <c r="K182" i="1"/>
  <c r="L182" i="1"/>
  <c r="M182" i="1"/>
  <c r="N182" i="1"/>
  <c r="C182" i="1"/>
  <c r="D192" i="1"/>
  <c r="E192" i="1"/>
  <c r="F192" i="1"/>
  <c r="G192" i="1"/>
  <c r="H192" i="1"/>
  <c r="I192" i="1"/>
  <c r="J192" i="1"/>
  <c r="K192" i="1"/>
  <c r="L192" i="1"/>
  <c r="M192" i="1"/>
  <c r="N192" i="1"/>
  <c r="C192" i="1"/>
  <c r="D201" i="1"/>
  <c r="E201" i="1"/>
  <c r="F201" i="1"/>
  <c r="G201" i="1"/>
  <c r="H201" i="1"/>
  <c r="I201" i="1"/>
  <c r="J201" i="1"/>
  <c r="K201" i="1"/>
  <c r="L201" i="1"/>
  <c r="M201" i="1"/>
  <c r="N201" i="1"/>
  <c r="C201" i="1"/>
  <c r="B201" i="1"/>
  <c r="B192" i="1"/>
  <c r="B182" i="1"/>
  <c r="B173" i="1"/>
  <c r="B165" i="1"/>
  <c r="B150" i="1"/>
  <c r="B142" i="1"/>
  <c r="B130" i="1"/>
  <c r="B122" i="1"/>
  <c r="B114" i="1"/>
  <c r="D105" i="1"/>
  <c r="E105" i="1"/>
  <c r="F105" i="1"/>
  <c r="G105" i="1"/>
  <c r="H105" i="1"/>
  <c r="I105" i="1"/>
  <c r="J105" i="1"/>
  <c r="K105" i="1"/>
  <c r="L105" i="1"/>
  <c r="M105" i="1"/>
  <c r="N105" i="1"/>
  <c r="C105" i="1"/>
  <c r="D96" i="1"/>
  <c r="E96" i="1"/>
  <c r="F96" i="1"/>
  <c r="G96" i="1"/>
  <c r="H96" i="1"/>
  <c r="I96" i="1"/>
  <c r="J96" i="1"/>
  <c r="K96" i="1"/>
  <c r="L96" i="1"/>
  <c r="M96" i="1"/>
  <c r="N96" i="1"/>
  <c r="C96" i="1"/>
  <c r="B105" i="1"/>
  <c r="B96" i="1"/>
  <c r="D86" i="1"/>
  <c r="E86" i="1"/>
  <c r="F86" i="1"/>
  <c r="G86" i="1"/>
  <c r="H86" i="1"/>
  <c r="I86" i="1"/>
  <c r="J86" i="1"/>
  <c r="K86" i="1"/>
  <c r="L86" i="1"/>
  <c r="M86" i="1"/>
  <c r="N86" i="1"/>
  <c r="C86" i="1"/>
  <c r="B86" i="1"/>
  <c r="D74" i="1"/>
  <c r="E74" i="1"/>
  <c r="F74" i="1"/>
  <c r="G74" i="1"/>
  <c r="H74" i="1"/>
  <c r="I74" i="1"/>
  <c r="J74" i="1"/>
  <c r="K74" i="1"/>
  <c r="L74" i="1"/>
  <c r="M74" i="1"/>
  <c r="N74" i="1"/>
  <c r="C74" i="1"/>
  <c r="B74" i="1"/>
  <c r="D60" i="1"/>
  <c r="E60" i="1"/>
  <c r="F60" i="1"/>
  <c r="G60" i="1"/>
  <c r="H60" i="1"/>
  <c r="I60" i="1"/>
  <c r="J60" i="1"/>
  <c r="K60" i="1"/>
  <c r="L60" i="1"/>
  <c r="M60" i="1"/>
  <c r="N60" i="1"/>
  <c r="C60" i="1"/>
  <c r="B60" i="1"/>
  <c r="D43" i="1"/>
  <c r="E43" i="1"/>
  <c r="F43" i="1"/>
  <c r="G43" i="1"/>
  <c r="H43" i="1"/>
  <c r="I43" i="1"/>
  <c r="J43" i="1"/>
  <c r="K43" i="1"/>
  <c r="L43" i="1"/>
  <c r="M43" i="1"/>
  <c r="N43" i="1"/>
  <c r="B43" i="1"/>
  <c r="C43" i="1"/>
  <c r="N34" i="1"/>
  <c r="N7" i="1" s="1"/>
  <c r="M34" i="1"/>
  <c r="M7" i="1" s="1"/>
  <c r="L34" i="1"/>
  <c r="L7" i="1" s="1"/>
  <c r="K34" i="1"/>
  <c r="K7" i="1" s="1"/>
  <c r="J34" i="1"/>
  <c r="J7" i="1" s="1"/>
  <c r="I34" i="1"/>
  <c r="I7" i="1" s="1"/>
  <c r="H34" i="1"/>
  <c r="H7" i="1" s="1"/>
  <c r="G34" i="1"/>
  <c r="G7" i="1" s="1"/>
  <c r="F34" i="1"/>
  <c r="F7" i="1" s="1"/>
  <c r="E34" i="1"/>
  <c r="E7" i="1" s="1"/>
  <c r="D34" i="1"/>
  <c r="D7" i="1" s="1"/>
  <c r="C34" i="1"/>
  <c r="C7" i="1" s="1"/>
  <c r="B34" i="1"/>
  <c r="G202" i="1" l="1"/>
  <c r="M202" i="1"/>
  <c r="I8" i="1"/>
  <c r="I193" i="1" s="1"/>
  <c r="C8" i="1"/>
  <c r="C174" i="1" s="1"/>
  <c r="C12" i="1"/>
  <c r="D12" i="1" s="1"/>
  <c r="E12" i="1" s="1"/>
  <c r="F12" i="1" s="1"/>
  <c r="G12" i="1" s="1"/>
  <c r="H12" i="1" s="1"/>
  <c r="I12" i="1" s="1"/>
  <c r="J12" i="1" s="1"/>
  <c r="K12" i="1" s="1"/>
  <c r="L12" i="1" s="1"/>
  <c r="M12" i="1" s="1"/>
  <c r="N12" i="1" s="1"/>
  <c r="H8" i="1"/>
  <c r="H174" i="1" s="1"/>
  <c r="M8" i="1"/>
  <c r="M166" i="1" s="1"/>
  <c r="E8" i="1"/>
  <c r="E166" i="1" s="1"/>
  <c r="G8" i="1"/>
  <c r="G166" i="1" s="1"/>
  <c r="N8" i="1"/>
  <c r="N174" i="1" s="1"/>
  <c r="F8" i="1"/>
  <c r="F174" i="1" s="1"/>
  <c r="L8" i="1"/>
  <c r="L174" i="1" s="1"/>
  <c r="D8" i="1"/>
  <c r="D174" i="1" s="1"/>
  <c r="K8" i="1"/>
  <c r="K183" i="1" s="1"/>
  <c r="J8" i="1"/>
  <c r="J202" i="1" s="1"/>
  <c r="F151" i="1" l="1"/>
  <c r="F193" i="1"/>
  <c r="E202" i="1"/>
  <c r="K202" i="1"/>
  <c r="H202" i="1"/>
  <c r="N202" i="1"/>
  <c r="F202" i="1"/>
  <c r="C202" i="1"/>
  <c r="L202" i="1"/>
  <c r="I202" i="1"/>
  <c r="D202" i="1"/>
  <c r="J151" i="1"/>
  <c r="J193" i="1"/>
  <c r="M193" i="1"/>
  <c r="D143" i="1"/>
  <c r="N193" i="1"/>
  <c r="N183" i="1"/>
  <c r="G193" i="1"/>
  <c r="G143" i="1"/>
  <c r="C193" i="1"/>
  <c r="D193" i="1"/>
  <c r="H193" i="1"/>
  <c r="L193" i="1"/>
  <c r="E193" i="1"/>
  <c r="K193" i="1"/>
  <c r="H166" i="1"/>
  <c r="J143" i="1"/>
  <c r="K166" i="1"/>
  <c r="F166" i="1"/>
  <c r="F183" i="1"/>
  <c r="N166" i="1"/>
  <c r="N151" i="1"/>
  <c r="L143" i="1"/>
  <c r="E143" i="1"/>
  <c r="C143" i="1"/>
  <c r="E151" i="1"/>
  <c r="J166" i="1"/>
  <c r="H151" i="1"/>
  <c r="M143" i="1"/>
  <c r="K151" i="1"/>
  <c r="I174" i="1"/>
  <c r="I143" i="1"/>
  <c r="M151" i="1"/>
  <c r="J183" i="1"/>
  <c r="D166" i="1"/>
  <c r="I151" i="1"/>
  <c r="H183" i="1"/>
  <c r="H143" i="1"/>
  <c r="I166" i="1"/>
  <c r="F143" i="1"/>
  <c r="L166" i="1"/>
  <c r="E183" i="1"/>
  <c r="C166" i="1"/>
  <c r="G174" i="1"/>
  <c r="G151" i="1"/>
  <c r="D151" i="1"/>
  <c r="I183" i="1"/>
  <c r="K143" i="1"/>
  <c r="D183" i="1"/>
  <c r="M183" i="1"/>
  <c r="G183" i="1"/>
  <c r="L151" i="1"/>
  <c r="N143" i="1"/>
  <c r="C151" i="1"/>
  <c r="L183" i="1"/>
  <c r="C183" i="1"/>
  <c r="M174" i="1"/>
  <c r="K174" i="1"/>
  <c r="E174" i="1"/>
  <c r="J174" i="1"/>
  <c r="H123" i="1"/>
  <c r="D131" i="1"/>
  <c r="C87" i="1"/>
  <c r="L131" i="1"/>
  <c r="F131" i="1"/>
  <c r="I106" i="1"/>
  <c r="N123" i="1"/>
  <c r="C131" i="1"/>
  <c r="G123" i="1"/>
  <c r="C123" i="1"/>
  <c r="K97" i="1"/>
  <c r="K131" i="1"/>
  <c r="N131" i="1"/>
  <c r="E75" i="1"/>
  <c r="E123" i="1"/>
  <c r="K123" i="1"/>
  <c r="J75" i="1"/>
  <c r="J131" i="1"/>
  <c r="M87" i="1"/>
  <c r="M123" i="1"/>
  <c r="I123" i="1"/>
  <c r="G131" i="1"/>
  <c r="E131" i="1"/>
  <c r="D61" i="1"/>
  <c r="D123" i="1"/>
  <c r="M131" i="1"/>
  <c r="F123" i="1"/>
  <c r="L106" i="1"/>
  <c r="L123" i="1"/>
  <c r="J123" i="1"/>
  <c r="I131" i="1"/>
  <c r="H106" i="1"/>
  <c r="H131" i="1"/>
  <c r="E115" i="1"/>
  <c r="L115" i="1"/>
  <c r="M115" i="1"/>
  <c r="J115" i="1"/>
  <c r="N61" i="1"/>
  <c r="N115" i="1"/>
  <c r="E106" i="1"/>
  <c r="C115" i="1"/>
  <c r="F61" i="1"/>
  <c r="F115" i="1"/>
  <c r="G61" i="1"/>
  <c r="G115" i="1"/>
  <c r="M106" i="1"/>
  <c r="H115" i="1"/>
  <c r="F106" i="1"/>
  <c r="I115" i="1"/>
  <c r="D115" i="1"/>
  <c r="K115" i="1"/>
  <c r="N106" i="1"/>
  <c r="J106" i="1"/>
  <c r="G106" i="1"/>
  <c r="K106" i="1"/>
  <c r="C106" i="1"/>
  <c r="D106" i="1"/>
  <c r="G44" i="1"/>
  <c r="E44" i="1"/>
  <c r="G97" i="1"/>
  <c r="C61" i="1"/>
  <c r="N87" i="1"/>
  <c r="E97" i="1"/>
  <c r="E61" i="1"/>
  <c r="L44" i="1"/>
  <c r="L87" i="1"/>
  <c r="L61" i="1"/>
  <c r="K61" i="1"/>
  <c r="H44" i="1"/>
  <c r="H61" i="1"/>
  <c r="C44" i="1"/>
  <c r="C97" i="1"/>
  <c r="F87" i="1"/>
  <c r="M97" i="1"/>
  <c r="L97" i="1"/>
  <c r="E87" i="1"/>
  <c r="K44" i="1"/>
  <c r="K87" i="1"/>
  <c r="I44" i="1"/>
  <c r="I97" i="1"/>
  <c r="M61" i="1"/>
  <c r="N44" i="1"/>
  <c r="N75" i="1"/>
  <c r="F97" i="1"/>
  <c r="I87" i="1"/>
  <c r="H97" i="1"/>
  <c r="G75" i="1"/>
  <c r="H75" i="1"/>
  <c r="D44" i="1"/>
  <c r="D87" i="1"/>
  <c r="I61" i="1"/>
  <c r="J44" i="1"/>
  <c r="J97" i="1"/>
  <c r="N97" i="1"/>
  <c r="D75" i="1"/>
  <c r="J87" i="1"/>
  <c r="C75" i="1"/>
  <c r="I75" i="1"/>
  <c r="M44" i="1"/>
  <c r="M75" i="1"/>
  <c r="K75" i="1"/>
  <c r="F44" i="1"/>
  <c r="F75" i="1"/>
  <c r="H87" i="1"/>
  <c r="L75" i="1"/>
  <c r="D97" i="1"/>
  <c r="J61" i="1"/>
  <c r="G87" i="1"/>
  <c r="O200" i="1"/>
  <c r="P200" i="1" s="1"/>
  <c r="O199" i="1"/>
  <c r="P199" i="1" s="1"/>
  <c r="O198" i="1"/>
  <c r="P198" i="1" s="1"/>
  <c r="O197" i="1"/>
  <c r="P197" i="1" s="1"/>
  <c r="O196" i="1"/>
  <c r="O191" i="1"/>
  <c r="P191" i="1" s="1"/>
  <c r="O190" i="1"/>
  <c r="P190" i="1" s="1"/>
  <c r="O189" i="1"/>
  <c r="P189" i="1" s="1"/>
  <c r="O188" i="1"/>
  <c r="P188" i="1" s="1"/>
  <c r="O187" i="1"/>
  <c r="P187" i="1" s="1"/>
  <c r="O186" i="1"/>
  <c r="O181" i="1"/>
  <c r="P181" i="1" s="1"/>
  <c r="O180" i="1"/>
  <c r="P180" i="1" s="1"/>
  <c r="O179" i="1"/>
  <c r="P179" i="1" s="1"/>
  <c r="O178" i="1"/>
  <c r="P178" i="1" s="1"/>
  <c r="O177" i="1"/>
  <c r="O172" i="1"/>
  <c r="P172" i="1" s="1"/>
  <c r="O171" i="1"/>
  <c r="P171" i="1" s="1"/>
  <c r="O170" i="1"/>
  <c r="P170" i="1" s="1"/>
  <c r="O169" i="1"/>
  <c r="O164" i="1"/>
  <c r="P164" i="1" s="1"/>
  <c r="O163" i="1"/>
  <c r="P163" i="1" s="1"/>
  <c r="O162" i="1"/>
  <c r="P162" i="1" s="1"/>
  <c r="O161" i="1"/>
  <c r="P161" i="1" s="1"/>
  <c r="O160" i="1"/>
  <c r="P160" i="1" s="1"/>
  <c r="O159" i="1"/>
  <c r="P159" i="1" s="1"/>
  <c r="O158" i="1"/>
  <c r="P158" i="1" s="1"/>
  <c r="O157" i="1"/>
  <c r="P157" i="1" s="1"/>
  <c r="O156" i="1"/>
  <c r="P156" i="1" s="1"/>
  <c r="O155" i="1"/>
  <c r="P155" i="1" s="1"/>
  <c r="O154" i="1"/>
  <c r="O149" i="1"/>
  <c r="P149" i="1" s="1"/>
  <c r="O148" i="1"/>
  <c r="P148" i="1" s="1"/>
  <c r="O147" i="1"/>
  <c r="P147" i="1" s="1"/>
  <c r="O146" i="1"/>
  <c r="O141" i="1"/>
  <c r="P141" i="1" s="1"/>
  <c r="O140" i="1"/>
  <c r="P140" i="1" s="1"/>
  <c r="O139" i="1"/>
  <c r="P139" i="1" s="1"/>
  <c r="O138" i="1"/>
  <c r="P138" i="1" s="1"/>
  <c r="O137" i="1"/>
  <c r="P137" i="1" s="1"/>
  <c r="O136" i="1"/>
  <c r="P136" i="1" s="1"/>
  <c r="O135" i="1"/>
  <c r="P135" i="1" s="1"/>
  <c r="O134" i="1"/>
  <c r="O129" i="1"/>
  <c r="P129" i="1" s="1"/>
  <c r="O128" i="1"/>
  <c r="P128" i="1" s="1"/>
  <c r="O127" i="1"/>
  <c r="P127" i="1" s="1"/>
  <c r="O126" i="1"/>
  <c r="O121" i="1"/>
  <c r="P121" i="1" s="1"/>
  <c r="O120" i="1"/>
  <c r="P120" i="1" s="1"/>
  <c r="O119" i="1"/>
  <c r="O118" i="1"/>
  <c r="O113" i="1"/>
  <c r="P113" i="1" s="1"/>
  <c r="O112" i="1"/>
  <c r="P112" i="1" s="1"/>
  <c r="O111" i="1"/>
  <c r="P111" i="1" s="1"/>
  <c r="O110" i="1"/>
  <c r="P110" i="1" s="1"/>
  <c r="O109" i="1"/>
  <c r="O104" i="1"/>
  <c r="P104" i="1" s="1"/>
  <c r="O103" i="1"/>
  <c r="P103" i="1" s="1"/>
  <c r="O102" i="1"/>
  <c r="P102" i="1" s="1"/>
  <c r="O101" i="1"/>
  <c r="P101" i="1" s="1"/>
  <c r="O100" i="1"/>
  <c r="O95" i="1"/>
  <c r="P95" i="1" s="1"/>
  <c r="O94" i="1"/>
  <c r="P94" i="1" s="1"/>
  <c r="O93" i="1"/>
  <c r="P93" i="1" s="1"/>
  <c r="O92" i="1"/>
  <c r="P92" i="1" s="1"/>
  <c r="O91" i="1"/>
  <c r="P91" i="1" s="1"/>
  <c r="O90" i="1"/>
  <c r="O85" i="1"/>
  <c r="P85" i="1" s="1"/>
  <c r="O84" i="1"/>
  <c r="P84" i="1" s="1"/>
  <c r="O83" i="1"/>
  <c r="P83" i="1" s="1"/>
  <c r="O82" i="1"/>
  <c r="P82" i="1" s="1"/>
  <c r="O81" i="1"/>
  <c r="O80" i="1"/>
  <c r="P80" i="1" s="1"/>
  <c r="O79" i="1"/>
  <c r="P79" i="1" s="1"/>
  <c r="O78" i="1"/>
  <c r="O73" i="1"/>
  <c r="P73" i="1" s="1"/>
  <c r="O72" i="1"/>
  <c r="P72" i="1" s="1"/>
  <c r="O71" i="1"/>
  <c r="P71" i="1" s="1"/>
  <c r="O70" i="1"/>
  <c r="P70" i="1" s="1"/>
  <c r="O69" i="1"/>
  <c r="P69" i="1" s="1"/>
  <c r="O68" i="1"/>
  <c r="P68" i="1" s="1"/>
  <c r="O67" i="1"/>
  <c r="P67" i="1" s="1"/>
  <c r="O66" i="1"/>
  <c r="P66" i="1" s="1"/>
  <c r="O65" i="1"/>
  <c r="P65" i="1" s="1"/>
  <c r="O64" i="1"/>
  <c r="O59" i="1"/>
  <c r="P59" i="1" s="1"/>
  <c r="O58" i="1"/>
  <c r="P58" i="1" s="1"/>
  <c r="O57" i="1"/>
  <c r="P57" i="1" s="1"/>
  <c r="O56" i="1"/>
  <c r="P56" i="1" s="1"/>
  <c r="O55" i="1"/>
  <c r="P55" i="1" s="1"/>
  <c r="O54" i="1"/>
  <c r="P54" i="1" s="1"/>
  <c r="O53" i="1"/>
  <c r="P53" i="1" s="1"/>
  <c r="O52" i="1"/>
  <c r="P52" i="1" s="1"/>
  <c r="O51" i="1"/>
  <c r="P51" i="1" s="1"/>
  <c r="O50" i="1"/>
  <c r="P50" i="1" s="1"/>
  <c r="O49" i="1"/>
  <c r="P49" i="1" s="1"/>
  <c r="O48" i="1"/>
  <c r="P48" i="1" s="1"/>
  <c r="O47" i="1"/>
  <c r="O42" i="1"/>
  <c r="P42" i="1" s="1"/>
  <c r="O41" i="1"/>
  <c r="P41" i="1" s="1"/>
  <c r="O40" i="1"/>
  <c r="P40" i="1" s="1"/>
  <c r="O39" i="1"/>
  <c r="P39" i="1" s="1"/>
  <c r="O38" i="1"/>
  <c r="P38" i="1" s="1"/>
  <c r="O37" i="1"/>
  <c r="O33" i="1"/>
  <c r="P33" i="1" s="1"/>
  <c r="O32" i="1"/>
  <c r="P32" i="1" s="1"/>
  <c r="O31" i="1"/>
  <c r="P31" i="1" s="1"/>
  <c r="O30" i="1"/>
  <c r="P30" i="1" s="1"/>
  <c r="O29" i="1"/>
  <c r="P29" i="1" s="1"/>
  <c r="O28" i="1"/>
  <c r="P28" i="1" s="1"/>
  <c r="O27" i="1"/>
  <c r="O10" i="1"/>
  <c r="P10" i="1" s="1"/>
  <c r="O201" i="1" l="1"/>
  <c r="O192" i="1"/>
  <c r="P100" i="1"/>
  <c r="O105" i="1"/>
  <c r="P109" i="1"/>
  <c r="P114" i="1" s="1"/>
  <c r="O114" i="1"/>
  <c r="O150" i="1"/>
  <c r="O165" i="1"/>
  <c r="O173" i="1"/>
  <c r="P134" i="1"/>
  <c r="P142" i="1" s="1"/>
  <c r="O142" i="1"/>
  <c r="P118" i="1"/>
  <c r="O122" i="1"/>
  <c r="P177" i="1"/>
  <c r="P182" i="1" s="1"/>
  <c r="O182" i="1"/>
  <c r="O96" i="1"/>
  <c r="O130" i="1"/>
  <c r="P105" i="1"/>
  <c r="P78" i="1"/>
  <c r="O86" i="1"/>
  <c r="O74" i="1"/>
  <c r="P47" i="1"/>
  <c r="O60" i="1"/>
  <c r="O43" i="1"/>
  <c r="P27" i="1"/>
  <c r="P34" i="1" s="1"/>
  <c r="O34" i="1"/>
  <c r="F9" i="1"/>
  <c r="M9" i="1"/>
  <c r="P196" i="1"/>
  <c r="P126" i="1"/>
  <c r="P130" i="1" s="1"/>
  <c r="P119" i="1"/>
  <c r="P81" i="1"/>
  <c r="P154" i="1"/>
  <c r="C9" i="1"/>
  <c r="O7" i="1"/>
  <c r="P7" i="1" s="1"/>
  <c r="P146" i="1"/>
  <c r="P169" i="1"/>
  <c r="P90" i="1"/>
  <c r="P96" i="1" s="1"/>
  <c r="P37" i="1"/>
  <c r="P64" i="1"/>
  <c r="P186" i="1"/>
  <c r="P86" i="1" l="1"/>
  <c r="P201" i="1"/>
  <c r="P192" i="1"/>
  <c r="P173" i="1"/>
  <c r="P165" i="1"/>
  <c r="P150" i="1"/>
  <c r="P60" i="1"/>
  <c r="P122" i="1"/>
  <c r="G9" i="1"/>
  <c r="P74" i="1"/>
  <c r="P43" i="1"/>
  <c r="J9" i="1"/>
  <c r="H9" i="1"/>
  <c r="K9" i="1"/>
  <c r="C11" i="1"/>
  <c r="D11" i="1" s="1"/>
  <c r="E11" i="1" s="1"/>
  <c r="F11" i="1" s="1"/>
  <c r="G11" i="1" s="1"/>
  <c r="H11" i="1" s="1"/>
  <c r="I11" i="1" s="1"/>
  <c r="J11" i="1" s="1"/>
  <c r="K11" i="1" s="1"/>
  <c r="L11" i="1" s="1"/>
  <c r="M11" i="1" s="1"/>
  <c r="N11" i="1" s="1"/>
  <c r="L9" i="1"/>
  <c r="D9" i="1"/>
  <c r="N9" i="1"/>
  <c r="O8" i="1"/>
  <c r="O174" i="1" s="1"/>
  <c r="I9" i="1"/>
  <c r="E9" i="1"/>
  <c r="O202" i="1" l="1"/>
  <c r="O193" i="1"/>
  <c r="O183" i="1"/>
  <c r="O143" i="1"/>
  <c r="O151" i="1"/>
  <c r="O166" i="1"/>
  <c r="O97" i="1"/>
  <c r="O131" i="1"/>
  <c r="O123" i="1"/>
  <c r="O115" i="1"/>
  <c r="O106" i="1"/>
  <c r="O61" i="1"/>
  <c r="O87" i="1"/>
  <c r="O75" i="1"/>
  <c r="O44" i="1"/>
  <c r="O9" i="1"/>
  <c r="P9" i="1" s="1"/>
  <c r="P8" i="1"/>
  <c r="P193" i="1" s="1"/>
  <c r="P202" i="1" l="1"/>
  <c r="P174" i="1"/>
  <c r="P183" i="1"/>
  <c r="P143" i="1"/>
  <c r="P151" i="1"/>
  <c r="P166" i="1"/>
  <c r="P131" i="1"/>
  <c r="P123" i="1"/>
  <c r="P115" i="1"/>
  <c r="P61" i="1"/>
  <c r="P106" i="1"/>
  <c r="P75" i="1"/>
  <c r="P97" i="1"/>
  <c r="P87" i="1"/>
  <c r="P44" i="1"/>
</calcChain>
</file>

<file path=xl/sharedStrings.xml><?xml version="1.0" encoding="utf-8"?>
<sst xmlns="http://schemas.openxmlformats.org/spreadsheetml/2006/main" count="409" uniqueCount="146">
  <si>
    <t>Beginning Spending Balance</t>
  </si>
  <si>
    <t>Beginning Savings Balance</t>
  </si>
  <si>
    <t>[42]</t>
  </si>
  <si>
    <t>Summary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</si>
  <si>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</si>
  <si>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</si>
  <si>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</si>
  <si>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</si>
  <si>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</si>
  <si>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</si>
  <si>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</si>
  <si>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</si>
  <si>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</si>
  <si>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</si>
  <si>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</si>
  <si>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</si>
  <si>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</si>
  <si>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Avg</t>
  </si>
  <si>
    <t>Total Income</t>
  </si>
  <si>
    <t>Total Expenses</t>
  </si>
  <si>
    <t>NET (Income - Expenses)</t>
  </si>
  <si>
    <t>Adjustment to Savings</t>
  </si>
  <si>
    <t>Spending Balance</t>
  </si>
  <si>
    <t>Savings Balance</t>
  </si>
  <si>
    <t>INCOME</t>
  </si>
  <si>
    <t xml:space="preserve"> Total </t>
  </si>
  <si>
    <t xml:space="preserve"> Avg </t>
  </si>
  <si>
    <t>Wages &amp; Tips</t>
  </si>
  <si>
    <t>Interest Income</t>
  </si>
  <si>
    <t>Dividends</t>
  </si>
  <si>
    <t>Gifts Received</t>
  </si>
  <si>
    <t>Refunds/Reimbursements</t>
  </si>
  <si>
    <t>Other</t>
  </si>
  <si>
    <t>Transfer From Savings</t>
  </si>
  <si>
    <t>SAVINGS EXPENSE</t>
  </si>
  <si>
    <t>Emergency Fund</t>
  </si>
  <si>
    <t>Car Replacement Fund</t>
  </si>
  <si>
    <t>Retirement Fund</t>
  </si>
  <si>
    <t>Investments</t>
  </si>
  <si>
    <t>Education Fund</t>
  </si>
  <si>
    <t>% of Total Expenses</t>
  </si>
  <si>
    <t>HOME EXPENSES</t>
  </si>
  <si>
    <t>Mortgage/Rent</t>
  </si>
  <si>
    <t>Electricity</t>
  </si>
  <si>
    <t>Gas/Oil</t>
  </si>
  <si>
    <t>Water/Sewer/Trash</t>
  </si>
  <si>
    <t>Phone</t>
  </si>
  <si>
    <t>Cable/Satellite</t>
  </si>
  <si>
    <t>Internet</t>
  </si>
  <si>
    <t>Furnishings/Appliances</t>
  </si>
  <si>
    <t>Lawn/Garden</t>
  </si>
  <si>
    <t>Home Supplies</t>
  </si>
  <si>
    <t>Maintenance</t>
  </si>
  <si>
    <t>Improvements</t>
  </si>
  <si>
    <t>DAILY LIVING</t>
  </si>
  <si>
    <t>Groceries</t>
  </si>
  <si>
    <t>Personal Supplies</t>
  </si>
  <si>
    <t>Clothing</t>
  </si>
  <si>
    <t>Cleaning Services</t>
  </si>
  <si>
    <t>Dining/Eating Out</t>
  </si>
  <si>
    <t>Dry Cleaning</t>
  </si>
  <si>
    <t>Salon/Barber</t>
  </si>
  <si>
    <t>Discretionary [Name 1]</t>
  </si>
  <si>
    <t>Discretionary [Name 2]</t>
  </si>
  <si>
    <t>CHILDREN</t>
  </si>
  <si>
    <t>Medical</t>
  </si>
  <si>
    <t>School Tuition</t>
  </si>
  <si>
    <t>School Lunch</t>
  </si>
  <si>
    <t>School Supplies</t>
  </si>
  <si>
    <t>Babysitting</t>
  </si>
  <si>
    <t>Toys/Games</t>
  </si>
  <si>
    <t>TRANSPORTATION</t>
  </si>
  <si>
    <t>Vehicle Payments</t>
  </si>
  <si>
    <t>Fuel</t>
  </si>
  <si>
    <t>Bus/Taxi/Train Fare</t>
  </si>
  <si>
    <t>Repairs</t>
  </si>
  <si>
    <t>Registration/License</t>
  </si>
  <si>
    <t>HEALTH</t>
  </si>
  <si>
    <t>Doctor/Dentist</t>
  </si>
  <si>
    <t>Medicine/Drugs</t>
  </si>
  <si>
    <t>Health Club Dues</t>
  </si>
  <si>
    <t>Emergency</t>
  </si>
  <si>
    <t>INSURANCE</t>
  </si>
  <si>
    <t>Auto</t>
  </si>
  <si>
    <t>Health</t>
  </si>
  <si>
    <t>Home/Rental</t>
  </si>
  <si>
    <t>Life</t>
  </si>
  <si>
    <t>EDUCATION</t>
  </si>
  <si>
    <t>Tuition</t>
  </si>
  <si>
    <t>Books</t>
  </si>
  <si>
    <t>Music Lessons</t>
  </si>
  <si>
    <t>CHARITY/GIFTS</t>
  </si>
  <si>
    <t>Gifts Given</t>
  </si>
  <si>
    <t>Charitable Donations</t>
  </si>
  <si>
    <t>Religious Donations</t>
  </si>
  <si>
    <t>OBLIGATIONS</t>
  </si>
  <si>
    <t>Student Loans</t>
  </si>
  <si>
    <t>Credit Card Debt</t>
  </si>
  <si>
    <t>Other Loans</t>
  </si>
  <si>
    <t>Alimony/Child Support</t>
  </si>
  <si>
    <t>Federal Taxes</t>
  </si>
  <si>
    <t>State/Local Taxes</t>
  </si>
  <si>
    <t>Legal Fees</t>
  </si>
  <si>
    <t>BUSINESS EXPENSE</t>
  </si>
  <si>
    <t>Deductible Expenses</t>
  </si>
  <si>
    <t>Non-Deductible Expenses</t>
  </si>
  <si>
    <t>ENTERTAINMENT</t>
  </si>
  <si>
    <t>Activities</t>
  </si>
  <si>
    <t>Games</t>
  </si>
  <si>
    <t>Fun Stuff</t>
  </si>
  <si>
    <t>Hobbies</t>
  </si>
  <si>
    <t>Media</t>
  </si>
  <si>
    <t>Outdoor Recreation</t>
  </si>
  <si>
    <t>Sports</t>
  </si>
  <si>
    <t>Toys/Gadgets</t>
  </si>
  <si>
    <t>Vacation/Travel</t>
  </si>
  <si>
    <t>PETS</t>
  </si>
  <si>
    <t>Food</t>
  </si>
  <si>
    <t>Toys/Supplies</t>
  </si>
  <si>
    <t>SUBSCRIPTIONS</t>
  </si>
  <si>
    <t>Newspaper</t>
  </si>
  <si>
    <t>Magazines</t>
  </si>
  <si>
    <t>Dues</t>
  </si>
  <si>
    <t>Club Memberships</t>
  </si>
  <si>
    <t>VACATION</t>
  </si>
  <si>
    <t>Travel</t>
  </si>
  <si>
    <t>Lodging</t>
  </si>
  <si>
    <t>Rental Car</t>
  </si>
  <si>
    <t>Entertainment</t>
  </si>
  <si>
    <t>MISCELLANEOUS</t>
  </si>
  <si>
    <t>Bank Fees</t>
  </si>
  <si>
    <t>Postage</t>
  </si>
  <si>
    <t>Year</t>
  </si>
  <si>
    <t>HOUSEHOLD BUDGET PLANNER</t>
  </si>
  <si>
    <t xml:space="preserve"> Jan </t>
  </si>
  <si>
    <t xml:space="preserve"> Feb </t>
  </si>
  <si>
    <t xml:space="preserve"> Mar </t>
  </si>
  <si>
    <t xml:space="preserve"> Apr </t>
  </si>
  <si>
    <t xml:space="preserve"> May </t>
  </si>
  <si>
    <t xml:space="preserve"> Jun </t>
  </si>
  <si>
    <t xml:space="preserve"> Jul </t>
  </si>
  <si>
    <t xml:space="preserve"> Aug </t>
  </si>
  <si>
    <t xml:space="preserve"> Sep </t>
  </si>
  <si>
    <t xml:space="preserve"> Oct </t>
  </si>
  <si>
    <t xml:space="preserve"> Nov </t>
  </si>
  <si>
    <t xml:space="preserve"> Dec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</si>
</sst>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£&quot;* #,##0.00_-;\-&quot;£&quot;* #,##0.00_-;_-&quot;£&quot;* &quot;-&quot;??_-;_-@_-"/>
    <numFmt numFmtId="165" formatCode="_(* #,##0.00_);_(* \(#,##0.00\);_(* &quot;-&quot;??_);_(@_)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sz val="10"/>
      <name val="Trebuchet MS"/>
      <family val="2"/>
    </font>
    <font>
      <sz val="10"/>
      <name val="Calibri Light"/>
      <family val="2"/>
      <scheme val="maj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u/>
      <sz val="9"/>
      <color theme="1" tint="0.34998626667073579"/>
      <name val="Arial"/>
      <family val="2"/>
    </font>
    <font>
      <sz val="2"/>
      <color indexed="9"/>
      <name val="Calibri"/>
      <family val="2"/>
      <scheme val="minor"/>
    </font>
    <font>
      <sz val="8"/>
      <name val="Calibri"/>
      <family val="2"/>
      <scheme val="minor"/>
    </font>
    <font>
      <sz val="6"/>
      <color indexed="9"/>
      <name val="Calibri"/>
      <family val="2"/>
      <scheme val="minor"/>
    </font>
    <font>
      <b/>
      <sz val="11"/>
      <color indexed="9"/>
      <name val="Calibri Light"/>
      <family val="1"/>
      <scheme val="major"/>
    </font>
    <font>
      <b/>
      <sz val="9"/>
      <name val="Calibri"/>
      <family val="2"/>
      <scheme val="minor"/>
    </font>
    <font>
      <b/>
      <sz val="10"/>
      <color theme="0"/>
      <name val="Calibri Light"/>
      <family val="2"/>
      <scheme val="maj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8"/>
      <color theme="4" tint="-0.499984740745262"/>
      <name val="Calibri Light"/>
      <family val="2"/>
      <scheme val="major"/>
    </font>
    <font>
      <b/>
      <sz val="18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6795556505021"/>
      </left>
      <right/>
      <top style="thin">
        <color theme="0" tint="-0.24994659260841701"/>
      </top>
      <bottom/>
      <diagonal/>
    </border>
    <border>
      <left/>
      <right/>
      <top/>
      <bottom style="medium">
        <color theme="4" tint="-0.499984740745262"/>
      </bottom>
      <diagonal/>
    </border>
    <border>
      <left/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6" fillId="0" borderId="1" xfId="1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4" applyFont="1" applyAlignment="1" applyProtection="1">
      <alignment horizontal="right"/>
    </xf>
    <xf numFmtId="0" fontId="9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3" fontId="6" fillId="3" borderId="0" xfId="2" applyNumberFormat="1" applyFont="1" applyFill="1" applyBorder="1" applyAlignment="1">
      <alignment horizontal="right" vertical="center"/>
    </xf>
    <xf numFmtId="3" fontId="6" fillId="3" borderId="0" xfId="0" applyNumberFormat="1" applyFont="1" applyFill="1" applyAlignment="1">
      <alignment vertical="center"/>
    </xf>
    <xf numFmtId="0" fontId="3" fillId="3" borderId="2" xfId="0" applyFont="1" applyFill="1" applyBorder="1" applyAlignment="1">
      <alignment horizontal="right" vertical="center"/>
    </xf>
    <xf numFmtId="3" fontId="6" fillId="3" borderId="2" xfId="2" applyNumberFormat="1" applyFont="1" applyFill="1" applyBorder="1" applyAlignment="1">
      <alignment horizontal="right" vertical="center"/>
    </xf>
    <xf numFmtId="3" fontId="6" fillId="3" borderId="2" xfId="0" applyNumberFormat="1" applyFont="1" applyFill="1" applyBorder="1" applyAlignment="1">
      <alignment vertical="center"/>
    </xf>
    <xf numFmtId="0" fontId="7" fillId="3" borderId="0" xfId="0" applyFont="1" applyFill="1" applyAlignment="1">
      <alignment horizontal="right" vertical="center"/>
    </xf>
    <xf numFmtId="38" fontId="13" fillId="3" borderId="0" xfId="2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38" fontId="6" fillId="0" borderId="1" xfId="1" applyNumberFormat="1" applyFont="1" applyFill="1" applyBorder="1" applyAlignment="1">
      <alignment vertical="center"/>
    </xf>
    <xf numFmtId="3" fontId="6" fillId="4" borderId="0" xfId="0" applyNumberFormat="1" applyFont="1" applyFill="1" applyAlignment="1">
      <alignment vertical="center"/>
    </xf>
    <xf numFmtId="38" fontId="6" fillId="4" borderId="0" xfId="2" applyNumberFormat="1" applyFont="1" applyFill="1" applyBorder="1" applyAlignment="1">
      <alignment horizontal="right" vertical="center"/>
    </xf>
    <xf numFmtId="0" fontId="6" fillId="4" borderId="0" xfId="0" applyFont="1" applyFill="1" applyAlignment="1">
      <alignment vertical="center"/>
    </xf>
    <xf numFmtId="3" fontId="16" fillId="0" borderId="5" xfId="1" applyNumberFormat="1" applyFont="1" applyBorder="1" applyAlignment="1">
      <alignment vertical="center"/>
    </xf>
    <xf numFmtId="3" fontId="16" fillId="4" borderId="5" xfId="0" applyNumberFormat="1" applyFont="1" applyFill="1" applyBorder="1" applyAlignment="1">
      <alignment vertical="center"/>
    </xf>
    <xf numFmtId="0" fontId="6" fillId="0" borderId="0" xfId="0" applyFont="1" applyAlignment="1">
      <alignment vertical="center" shrinkToFit="1"/>
    </xf>
    <xf numFmtId="3" fontId="6" fillId="0" borderId="0" xfId="0" applyNumberFormat="1" applyFont="1" applyAlignment="1">
      <alignment vertical="center"/>
    </xf>
    <xf numFmtId="0" fontId="14" fillId="5" borderId="3" xfId="0" applyFont="1" applyFill="1" applyBorder="1" applyAlignment="1">
      <alignment horizontal="center" vertical="center" shrinkToFit="1"/>
    </xf>
    <xf numFmtId="165" fontId="14" fillId="5" borderId="3" xfId="0" applyNumberFormat="1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vertical="center" shrinkToFit="1"/>
    </xf>
    <xf numFmtId="0" fontId="6" fillId="7" borderId="0" xfId="0" applyFont="1" applyFill="1" applyAlignment="1">
      <alignment horizontal="right" shrinkToFit="1"/>
    </xf>
    <xf numFmtId="166" fontId="6" fillId="7" borderId="0" xfId="3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15" fillId="6" borderId="4" xfId="0" applyFont="1" applyFill="1" applyBorder="1" applyAlignment="1">
      <alignment horizontal="left" vertical="center" shrinkToFit="1"/>
    </xf>
    <xf numFmtId="0" fontId="6" fillId="7" borderId="0" xfId="0" applyFont="1" applyFill="1" applyAlignment="1">
      <alignment horizontal="right" vertical="center" shrinkToFit="1"/>
    </xf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 shrinkToFit="1"/>
    </xf>
    <xf numFmtId="0" fontId="18" fillId="0" borderId="0" xfId="0" applyFont="1" applyAlignment="1">
      <alignment horizontal="right" vertical="center" shrinkToFi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1" fontId="3" fillId="0" borderId="1" xfId="1" applyNumberFormat="1" applyFont="1" applyBorder="1" applyAlignment="1">
      <alignment horizontal="right"/>
    </xf>
    <xf numFmtId="0" fontId="22" fillId="8" borderId="3" xfId="0" applyFont="1" applyFill="1" applyBorder="1" applyAlignment="1">
      <alignment horizontal="center"/>
    </xf>
    <xf numFmtId="165" fontId="22" fillId="8" borderId="3" xfId="0" applyNumberFormat="1" applyFont="1" applyFill="1" applyBorder="1" applyAlignment="1">
      <alignment horizontal="center"/>
    </xf>
    <xf numFmtId="0" fontId="15" fillId="9" borderId="4" xfId="0" applyFont="1" applyFill="1" applyBorder="1" applyAlignment="1">
      <alignment vertical="center" shrinkToFit="1"/>
    </xf>
    <xf numFmtId="3" fontId="16" fillId="0" borderId="5" xfId="1" applyNumberFormat="1" applyFont="1" applyFill="1" applyBorder="1" applyAlignment="1">
      <alignment vertical="center"/>
    </xf>
    <xf numFmtId="0" fontId="15" fillId="9" borderId="7" xfId="0" applyFont="1" applyFill="1" applyBorder="1" applyAlignment="1">
      <alignment horizontal="right" vertical="center" shrinkToFit="1"/>
    </xf>
    <xf numFmtId="3" fontId="16" fillId="0" borderId="8" xfId="0" applyNumberFormat="1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3" fontId="16" fillId="4" borderId="4" xfId="0" applyNumberFormat="1" applyFont="1" applyFill="1" applyBorder="1" applyAlignment="1">
      <alignment vertical="center"/>
    </xf>
    <xf numFmtId="3" fontId="16" fillId="0" borderId="5" xfId="0" applyNumberFormat="1" applyFont="1" applyBorder="1" applyAlignment="1">
      <alignment vertical="center"/>
    </xf>
    <xf numFmtId="0" fontId="15" fillId="6" borderId="4" xfId="0" applyFont="1" applyFill="1" applyBorder="1" applyAlignment="1">
      <alignment horizontal="right" vertical="center" shrinkToFit="1"/>
    </xf>
    <xf numFmtId="0" fontId="20" fillId="0" borderId="6" xfId="0" applyFont="1" applyBorder="1" applyAlignment="1">
      <alignment horizontal="center" vertic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 cent" xfId="3" builtinId="5"/>
  </cellStyles>
  <dxfs count="59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1" readingOrder="0"/>
      <border diagonalUp="0" diagonalDown="0">
        <left/>
        <right/>
        <top style="thin">
          <color theme="0" tint="-0.24994659260841701"/>
        </top>
        <bottom/>
        <vertical/>
        <horizontal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4" tint="-0.2499465926084170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 tint="-0.14996795556505021"/>
        </left>
        <right/>
        <top style="thin">
          <color theme="0" tint="-0.2499465926084170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theme="0" tint="-0.14996795556505021"/>
        </left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1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1" readingOrder="0"/>
      <border diagonalUp="0" diagonalDown="0" outline="0">
        <left/>
        <right style="thin">
          <color theme="0" tint="-0.14996795556505021"/>
        </right>
        <top style="thin">
          <color theme="0" tint="-0.24994659260841701"/>
        </top>
        <bottom/>
      </border>
    </dxf>
    <dxf>
      <border outline="0">
        <top style="thin">
          <color theme="0" tint="-0.24994659260841701"/>
        </top>
      </border>
    </dxf>
    <dxf>
      <border outline="0">
        <bottom style="double">
          <color theme="6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border outline="0">
        <bottom style="thin">
          <color theme="0" tint="-0.2499465926084170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scheme val="major"/>
      </font>
      <numFmt numFmtId="165" formatCode="_(* #,##0.00_);_(* \(#,##0.00\);_(* &quot;-&quot;??_);_(@_)"/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86547085201794"/>
          <c:y val="0.14112903225806453"/>
          <c:w val="0.86098654708520184"/>
          <c:h val="0.721774193548387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'Annual budget'!$B$9</c:f>
              <c:strCache>
                <c:ptCount val="1"/>
                <c:pt idx="0">
                  <c:v>NET (Income - Expenses)</c:v>
                </c:pt>
              </c:strCache>
            </c:strRef>
          </c:tx>
          <c:spPr>
            <a:solidFill>
              <a:srgbClr val="2C4675"/>
            </a:solidFill>
            <a:ln>
              <a:noFill/>
            </a:ln>
          </c:spPr>
          <c:invertIfNegative val="1"/>
          <c:cat>
            <c:strLit>
              <c:ptCount val="12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Dec</c:v>
              </c:pt>
            </c:strLit>
          </c:cat>
          <c:val>
            <c:numRef>
              <c:f>'Annual budget'!$C$9:$N$9</c:f>
              <c:numCache>
                <c:formatCode>#,##0_);[Red]\(#,##0\)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953535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1FB-4BC7-8567-E9538D47D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266345856"/>
        <c:axId val="266352128"/>
      </c:barChart>
      <c:lineChart>
        <c:grouping val="standard"/>
        <c:varyColors val="0"/>
        <c:ser>
          <c:idx val="1"/>
          <c:order val="1"/>
          <c:tx>
            <c:strRef>
              <c:f>'Annual budget'!$B$11</c:f>
              <c:strCache>
                <c:ptCount val="1"/>
                <c:pt idx="0">
                  <c:v>Spending Balance</c:v>
                </c:pt>
              </c:strCache>
            </c:strRef>
          </c:tx>
          <c:spPr>
            <a:ln w="31750">
              <a:solidFill>
                <a:schemeClr val="accent3">
                  <a:lumMod val="75000"/>
                </a:schemeClr>
              </a:solidFill>
            </a:ln>
          </c:spPr>
          <c:marker>
            <c:symbol val="circle"/>
            <c:size val="7"/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'Annual budget'!$C$6:$N$6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'Annual budget'!$C$11:$N$11</c:f>
              <c:numCache>
                <c:formatCode>#,##0_);[Red]\(#,##0\)</c:formatCode>
                <c:ptCount val="12"/>
                <c:pt idx="0">
                  <c:v>300</c:v>
                </c:pt>
                <c:pt idx="1">
                  <c:v>300</c:v>
                </c:pt>
                <c:pt idx="2">
                  <c:v>300</c:v>
                </c:pt>
                <c:pt idx="3">
                  <c:v>300</c:v>
                </c:pt>
                <c:pt idx="4">
                  <c:v>300</c:v>
                </c:pt>
                <c:pt idx="5">
                  <c:v>300</c:v>
                </c:pt>
                <c:pt idx="6">
                  <c:v>300</c:v>
                </c:pt>
                <c:pt idx="7">
                  <c:v>300</c:v>
                </c:pt>
                <c:pt idx="8">
                  <c:v>300</c:v>
                </c:pt>
                <c:pt idx="9">
                  <c:v>300</c:v>
                </c:pt>
                <c:pt idx="10">
                  <c:v>300</c:v>
                </c:pt>
                <c:pt idx="11">
                  <c:v>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B-4BC7-8567-E9538D47D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6345856"/>
        <c:axId val="266352128"/>
      </c:lineChart>
      <c:catAx>
        <c:axId val="26634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266352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66352128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663458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7.0005030621172359E-2"/>
          <c:y val="2.0161290322580645E-2"/>
          <c:w val="0.90981561679790024"/>
          <c:h val="0.10080645161290322"/>
        </c:manualLayout>
      </c:layout>
      <c:overlay val="0"/>
    </c:legend>
    <c:plotVisOnly val="0"/>
    <c:dispBlanksAs val="gap"/>
    <c:showDLblsOverMax val="0"/>
  </c:chart>
  <c:spPr>
    <a:ln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02767191494938"/>
          <c:y val="0.14859496029022454"/>
          <c:w val="0.83027615919330466"/>
          <c:h val="0.714862241396215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'Annual budget'!$B$12</c:f>
              <c:strCache>
                <c:ptCount val="1"/>
                <c:pt idx="0">
                  <c:v>Savings Balance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strRef>
              <c:f>'Annual budget'!$C$6:$N$6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'Annual budget'!$C$12:$N$12</c:f>
              <c:numCache>
                <c:formatCode>#,##0_);[Red]\(#,##0\)</c:formatCode>
                <c:ptCount val="12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6-47A8-BE78-01799677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266491008"/>
        <c:axId val="266500352"/>
      </c:barChart>
      <c:catAx>
        <c:axId val="26649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6650035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66500352"/>
        <c:scaling>
          <c:orientation val="minMax"/>
        </c:scaling>
        <c:delete val="0"/>
        <c:axPos val="l"/>
        <c:numFmt formatCode="#,##0_);[Red]\(#,##0\)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66491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2110127703608471"/>
          <c:y val="2.0080400039219532E-2"/>
          <c:w val="0.39220227409407488"/>
          <c:h val="0.10040200019609766"/>
        </c:manualLayout>
      </c:layout>
      <c:overlay val="0"/>
    </c:legend>
    <c:plotVisOnly val="0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12</xdr:row>
      <xdr:rowOff>57150</xdr:rowOff>
    </xdr:from>
    <xdr:to>
      <xdr:col>7</xdr:col>
      <xdr:colOff>200025</xdr:colOff>
      <xdr:row>24</xdr:row>
      <xdr:rowOff>133350</xdr:rowOff>
    </xdr:to>
    <xdr:graphicFrame macro="">
      <xdr:nvGraphicFramePr>
        <xdr:cNvPr id="2" name="Chart 10">
          <a:extLst>
            <a:ext uri="{FF2B5EF4-FFF2-40B4-BE49-F238E27FC236}">
              <a16:creationId xmlns:a16="http://schemas.microsoft.com/office/drawing/2014/main" id="{AB6CD26D-1B12-4FAE-914B-D7BE50BDA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409575</xdr:colOff>
      <xdr:row>12</xdr:row>
      <xdr:rowOff>57150</xdr:rowOff>
    </xdr:from>
    <xdr:to>
      <xdr:col>15</xdr:col>
      <xdr:colOff>466725</xdr:colOff>
      <xdr:row>24</xdr:row>
      <xdr:rowOff>142875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6D9DFE82-FED2-40DA-AFA7-1B94F90FE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14</xdr:col>
      <xdr:colOff>556260</xdr:colOff>
      <xdr:row>0</xdr:row>
      <xdr:rowOff>0</xdr:rowOff>
    </xdr:from>
    <xdr:to>
      <xdr:col>15</xdr:col>
      <xdr:colOff>419100</xdr:colOff>
      <xdr:row>0</xdr:row>
      <xdr:rowOff>533400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1CACE68-21FF-46CC-BC90-FA38C506B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2560" y="0"/>
          <a:ext cx="533400" cy="5334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F3909C7-CD1D-4606-AF28-0B956AA3A7E5}" name="Table1" displayName="Table1" ref="B26:P34" totalsRowCount="1" headerRowDxfId="594" dataDxfId="592" headerRowBorderDxfId="593" tableBorderDxfId="591" totalsRowBorderDxfId="590" dataCellStyle="Comma">
  <tableColumns count="15">
    <tableColumn id="1" xr3:uid="{CDD52B85-0EF7-4327-959A-53C4474921B5}" name="INCOME" totalsRowFunction="custom" dataDxfId="589" totalsRowDxfId="588">
      <totalsRowFormula>"Total "&amp;Table1[[#Headers],[INCOME]]</totalsRowFormula>
    </tableColumn>
    <tableColumn id="2" xr3:uid="{2775B993-FC85-42EA-BDBF-014D6D2067C4}" name=" Jan " totalsRowFunction="sum" dataDxfId="587" totalsRowDxfId="586" dataCellStyle="Comma"/>
    <tableColumn id="3" xr3:uid="{0ACB3853-0869-4106-AD22-F1852F041ED7}" name=" Feb " totalsRowFunction="sum" dataDxfId="585" totalsRowDxfId="584" dataCellStyle="Comma"/>
    <tableColumn id="4" xr3:uid="{514D9EEC-2D99-4B22-A7AB-82E41BBD57C9}" name=" Mar " totalsRowFunction="sum" dataDxfId="583" totalsRowDxfId="582" dataCellStyle="Comma"/>
    <tableColumn id="5" xr3:uid="{33F47AF8-5A28-41C8-8623-82C61AD35152}" name=" Apr " totalsRowFunction="sum" dataDxfId="581" totalsRowDxfId="580" dataCellStyle="Comma"/>
    <tableColumn id="6" xr3:uid="{EA9DDD62-A835-4238-B0AA-D10DDB50F074}" name=" May " totalsRowFunction="sum" dataDxfId="579" totalsRowDxfId="578" dataCellStyle="Comma"/>
    <tableColumn id="7" xr3:uid="{4D2993B1-D63C-48C3-ABF1-8D484D5F9E72}" name=" Jun " totalsRowFunction="sum" dataDxfId="577" totalsRowDxfId="576" dataCellStyle="Comma"/>
    <tableColumn id="8" xr3:uid="{93FA262B-C5A4-4A58-803B-44E769B4BB66}" name=" Jul " totalsRowFunction="sum" dataDxfId="575" totalsRowDxfId="574" dataCellStyle="Comma"/>
    <tableColumn id="9" xr3:uid="{8B7AD6D6-ABC1-4963-A165-48A944AFAC4A}" name=" Aug " totalsRowFunction="sum" dataDxfId="573" totalsRowDxfId="572" dataCellStyle="Comma"/>
    <tableColumn id="10" xr3:uid="{A80815F2-108F-40CA-8D9F-D78E347C4E0E}" name=" Sep " totalsRowFunction="sum" dataDxfId="571" totalsRowDxfId="570" dataCellStyle="Comma"/>
    <tableColumn id="11" xr3:uid="{203AB63D-0DEC-418A-9797-2C02CCFA131E}" name=" Oct " totalsRowFunction="sum" dataDxfId="569" totalsRowDxfId="568" dataCellStyle="Comma"/>
    <tableColumn id="12" xr3:uid="{2D39F207-F3D9-44FA-B587-D064AF8802BB}" name=" Nov " totalsRowFunction="sum" dataDxfId="567" totalsRowDxfId="566" dataCellStyle="Comma"/>
    <tableColumn id="13" xr3:uid="{1D0F4870-E045-4208-A121-52A611524B49}" name=" Dec " totalsRowFunction="sum" dataDxfId="565" totalsRowDxfId="564" dataCellStyle="Comma"/>
    <tableColumn id="14" xr3:uid="{92506D18-4C0C-4480-81B5-9E0067AED30A}" name=" Total " totalsRowFunction="sum" dataDxfId="563" totalsRowDxfId="562">
      <calculatedColumnFormula>SUM(C27:N27)</calculatedColumnFormula>
    </tableColumn>
    <tableColumn id="15" xr3:uid="{28DA2B66-5470-43B4-B633-95267FCDA77E}" name=" Avg " totalsRowFunction="sum" dataDxfId="561" totalsRowDxfId="560">
      <calculatedColumnFormula>O27/COLUMNS(C27:N27)</calculatedColumnFormula>
    </tableColumn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CF547A5-4670-42F6-B713-2A8756FB8074}" name="Table10" displayName="Table10" ref="B125:P130" totalsRowCount="1" headerRowDxfId="279" dataDxfId="277" headerRowBorderDxfId="278" tableBorderDxfId="276" totalsRowBorderDxfId="275" dataCellStyle="Comma">
  <tableColumns count="15">
    <tableColumn id="1" xr3:uid="{2D1438BF-09F3-4EDE-B49F-7D0ACF0F88B5}" name="CHARITY/GIFTS" totalsRowFunction="custom" dataDxfId="274" totalsRowDxfId="273">
      <totalsRowFormula>"Total "&amp;Table10[[#Headers],[CHARITY/GIFTS]]</totalsRowFormula>
    </tableColumn>
    <tableColumn id="2" xr3:uid="{61881318-5C14-4152-8CC0-FAC5CC42A061}" name=" Jan " totalsRowFunction="sum" dataDxfId="272" totalsRowDxfId="271" dataCellStyle="Comma"/>
    <tableColumn id="3" xr3:uid="{2B48B058-E19D-4B8A-80C3-4C3B26743F5E}" name=" Feb " totalsRowFunction="sum" dataDxfId="270" totalsRowDxfId="269" dataCellStyle="Comma"/>
    <tableColumn id="4" xr3:uid="{F4CA04A8-52F1-4D30-818D-2D0580B0BE69}" name=" Mar " totalsRowFunction="sum" dataDxfId="268" totalsRowDxfId="267" dataCellStyle="Comma"/>
    <tableColumn id="5" xr3:uid="{6CD36D44-C9B1-4DA6-9449-FC6F1081268D}" name=" Apr " totalsRowFunction="sum" dataDxfId="266" totalsRowDxfId="265" dataCellStyle="Comma"/>
    <tableColumn id="6" xr3:uid="{0C784C82-F01A-4F8A-A746-61DF668CDBC7}" name=" May " totalsRowFunction="sum" dataDxfId="264" totalsRowDxfId="263" dataCellStyle="Comma"/>
    <tableColumn id="7" xr3:uid="{1F44C054-0116-4D72-8C09-A401D4BD7BAC}" name=" Jun " totalsRowFunction="sum" dataDxfId="262" totalsRowDxfId="261" dataCellStyle="Comma"/>
    <tableColumn id="8" xr3:uid="{C43CDF1B-CC79-463F-95AD-387C9106E1C1}" name=" Jul " totalsRowFunction="sum" dataDxfId="260" totalsRowDxfId="259" dataCellStyle="Comma"/>
    <tableColumn id="9" xr3:uid="{C94F4264-A9E0-4230-B023-39B777C037BE}" name=" Aug " totalsRowFunction="sum" dataDxfId="258" totalsRowDxfId="257" dataCellStyle="Comma"/>
    <tableColumn id="10" xr3:uid="{18CD9D34-E0AD-4FAC-8AC4-DE9FB337AE24}" name=" Sep " totalsRowFunction="sum" dataDxfId="256" totalsRowDxfId="255" dataCellStyle="Comma"/>
    <tableColumn id="11" xr3:uid="{45B99742-107B-4C52-B7DD-F2A39116C962}" name=" Oct " totalsRowFunction="sum" dataDxfId="254" totalsRowDxfId="253" dataCellStyle="Comma"/>
    <tableColumn id="12" xr3:uid="{2596D69F-9ACA-49E1-9180-98CEB33144EF}" name=" Nov " totalsRowFunction="sum" dataDxfId="252" totalsRowDxfId="251" dataCellStyle="Comma"/>
    <tableColumn id="13" xr3:uid="{CB43E06D-02BF-4049-B540-70ADB4A2ACE4}" name=" Dec " totalsRowFunction="sum" dataDxfId="250" totalsRowDxfId="249" dataCellStyle="Comma"/>
    <tableColumn id="14" xr3:uid="{C238980B-DA29-4E95-AB82-9DDCB531BCFF}" name=" Total " totalsRowFunction="sum" dataDxfId="248" totalsRowDxfId="247">
      <calculatedColumnFormula>SUM(C126:N126)</calculatedColumnFormula>
    </tableColumn>
    <tableColumn id="15" xr3:uid="{AFEA2676-C9A8-4F5F-9A62-895C579FC918}" name=" Avg " totalsRowFunction="sum" dataDxfId="246" totalsRowDxfId="245">
      <calculatedColumnFormula>O126/COLUMNS(C126:N126)</calculatedColumnFormula>
    </tableColumn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992448C-FEB8-4B6A-A795-2F56184D78DC}" name="Table11" displayName="Table11" ref="B133:P142" totalsRowCount="1" headerRowDxfId="244" dataDxfId="242" headerRowBorderDxfId="243" tableBorderDxfId="241" totalsRowBorderDxfId="240" dataCellStyle="Comma">
  <tableColumns count="15">
    <tableColumn id="1" xr3:uid="{2BCDD5C1-E717-4BE8-9D44-AECC493CD0B9}" name="OBLIGATIONS" totalsRowFunction="custom" dataDxfId="239" totalsRowDxfId="238">
      <totalsRowFormula>"Total "&amp;Table11[[#Headers],[OBLIGATIONS]]</totalsRowFormula>
    </tableColumn>
    <tableColumn id="2" xr3:uid="{8546725C-2CFE-48EF-90C6-BCB1D84FEBFC}" name=" Jan " totalsRowFunction="sum" dataDxfId="237" totalsRowDxfId="236" dataCellStyle="Comma"/>
    <tableColumn id="3" xr3:uid="{94FF05FF-505D-4B17-A896-1825C40506FD}" name=" Feb " totalsRowFunction="sum" dataDxfId="235" totalsRowDxfId="234" dataCellStyle="Comma"/>
    <tableColumn id="4" xr3:uid="{D5FAA302-B55B-4EF7-81E5-91432888EE58}" name=" Mar " totalsRowFunction="sum" dataDxfId="233" totalsRowDxfId="232" dataCellStyle="Comma"/>
    <tableColumn id="5" xr3:uid="{9448FA71-97F1-42DA-86E2-CA7028B3F94D}" name=" Apr " totalsRowFunction="sum" dataDxfId="231" totalsRowDxfId="230" dataCellStyle="Comma"/>
    <tableColumn id="6" xr3:uid="{6C3EF796-F8B8-4205-B3EF-CCB5418C6142}" name=" May " totalsRowFunction="sum" dataDxfId="229" totalsRowDxfId="228" dataCellStyle="Comma"/>
    <tableColumn id="7" xr3:uid="{0CC20B4A-A5B3-400F-89A1-7DCD789A9062}" name=" Jun " totalsRowFunction="sum" dataDxfId="227" totalsRowDxfId="226" dataCellStyle="Comma"/>
    <tableColumn id="8" xr3:uid="{95C41047-40C5-426F-A044-576CAE9BEBFA}" name=" Jul " totalsRowFunction="sum" dataDxfId="225" totalsRowDxfId="224" dataCellStyle="Comma"/>
    <tableColumn id="9" xr3:uid="{4D76D394-D49F-47D6-A045-36356CEC8161}" name=" Aug " totalsRowFunction="sum" dataDxfId="223" totalsRowDxfId="222" dataCellStyle="Comma"/>
    <tableColumn id="10" xr3:uid="{6280E7F4-05DF-496B-9B11-B3BBB590DC8D}" name=" Sep " totalsRowFunction="sum" dataDxfId="221" totalsRowDxfId="220" dataCellStyle="Comma"/>
    <tableColumn id="11" xr3:uid="{FA9E779A-C046-45D5-ADC6-538C92824CF1}" name=" Oct " totalsRowFunction="sum" dataDxfId="219" totalsRowDxfId="218" dataCellStyle="Comma"/>
    <tableColumn id="12" xr3:uid="{E9680E93-7F5F-4ED2-8305-FC52C404D738}" name=" Nov " totalsRowFunction="sum" dataDxfId="217" totalsRowDxfId="216" dataCellStyle="Comma"/>
    <tableColumn id="13" xr3:uid="{C2673DA5-5C4F-4538-B5D8-FB1365F62FEE}" name=" Dec " totalsRowFunction="sum" dataDxfId="215" totalsRowDxfId="214" dataCellStyle="Comma"/>
    <tableColumn id="14" xr3:uid="{C5D2197F-B20E-4571-9570-44F06EDE536E}" name=" Total " totalsRowFunction="sum" dataDxfId="213" totalsRowDxfId="212">
      <calculatedColumnFormula>SUM(C134:N134)</calculatedColumnFormula>
    </tableColumn>
    <tableColumn id="15" xr3:uid="{32B5C8AA-4D2C-41AA-855E-AE4C57ACAB3D}" name=" Avg " totalsRowFunction="sum" dataDxfId="211" totalsRowDxfId="210">
      <calculatedColumnFormula>O134/COLUMNS(C134:N134)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22B632E-6E43-46EC-B7FD-597FE99A7CED}" name="Table12" displayName="Table12" ref="B145:P150" totalsRowCount="1" headerRowDxfId="209" dataDxfId="207" headerRowBorderDxfId="208" tableBorderDxfId="206" totalsRowBorderDxfId="205" dataCellStyle="Comma">
  <tableColumns count="15">
    <tableColumn id="1" xr3:uid="{C9E5C934-5481-4FC0-B79F-46942E5D50F3}" name="BUSINESS EXPENSE" totalsRowFunction="custom" dataDxfId="204" totalsRowDxfId="203">
      <totalsRowFormula>"Total "&amp;Table12[[#Headers],[BUSINESS EXPENSE]]</totalsRowFormula>
    </tableColumn>
    <tableColumn id="2" xr3:uid="{A9869F7F-550C-4338-95C9-C3EF70CE410C}" name=" Jan " totalsRowFunction="sum" dataDxfId="202" totalsRowDxfId="201" dataCellStyle="Comma"/>
    <tableColumn id="3" xr3:uid="{C015DFAF-4552-4A2D-88EE-227EC44A211E}" name=" Feb " totalsRowFunction="sum" dataDxfId="200" totalsRowDxfId="199" dataCellStyle="Comma"/>
    <tableColumn id="4" xr3:uid="{DC2B6D23-1EB3-43AB-A987-A7D3882A9EC7}" name=" Mar " totalsRowFunction="sum" dataDxfId="198" totalsRowDxfId="197" dataCellStyle="Comma"/>
    <tableColumn id="5" xr3:uid="{6CF6AB67-CBFE-40DF-AAA2-71DFE04E567F}" name=" Apr " totalsRowFunction="sum" dataDxfId="196" totalsRowDxfId="195" dataCellStyle="Comma"/>
    <tableColumn id="6" xr3:uid="{C483A393-9B14-4FD4-92B9-0DEA0EE74871}" name=" May " totalsRowFunction="sum" dataDxfId="194" totalsRowDxfId="193" dataCellStyle="Comma"/>
    <tableColumn id="7" xr3:uid="{487D6533-7779-4CCD-AD81-D87FDE798FD0}" name=" Jun " totalsRowFunction="sum" dataDxfId="192" totalsRowDxfId="191" dataCellStyle="Comma"/>
    <tableColumn id="8" xr3:uid="{7FD4552A-E693-44CC-9661-0C2389CA1EAB}" name=" Jul " totalsRowFunction="sum" dataDxfId="190" totalsRowDxfId="189" dataCellStyle="Comma"/>
    <tableColumn id="9" xr3:uid="{B42AC0F4-09A0-46FA-A4B5-4A4FD00B33F7}" name=" Aug " totalsRowFunction="sum" dataDxfId="188" totalsRowDxfId="187" dataCellStyle="Comma"/>
    <tableColumn id="10" xr3:uid="{0806B4D6-72E5-444D-A44E-6A37F488B492}" name=" Sep " totalsRowFunction="sum" dataDxfId="186" totalsRowDxfId="185" dataCellStyle="Comma"/>
    <tableColumn id="11" xr3:uid="{DFFD8610-445C-4F60-AA8B-032492C728A5}" name=" Oct " totalsRowFunction="sum" dataDxfId="184" totalsRowDxfId="183" dataCellStyle="Comma"/>
    <tableColumn id="12" xr3:uid="{7C605F6C-1EFB-4EAC-AF62-04A8E98BCBB9}" name=" Nov " totalsRowFunction="sum" dataDxfId="182" totalsRowDxfId="181" dataCellStyle="Comma"/>
    <tableColumn id="13" xr3:uid="{D8025999-EF91-4E5F-8778-08B7D147557B}" name=" Dec " totalsRowFunction="sum" dataDxfId="180" totalsRowDxfId="179" dataCellStyle="Comma"/>
    <tableColumn id="14" xr3:uid="{F65DA33A-1FCF-4037-AD54-0AD965CFC989}" name=" Total " totalsRowFunction="sum" dataDxfId="178" totalsRowDxfId="177">
      <calculatedColumnFormula>SUM(C146:N146)</calculatedColumnFormula>
    </tableColumn>
    <tableColumn id="15" xr3:uid="{D8866CCB-5B2C-4656-9D1B-7CF1FF9A858E}" name=" Avg " totalsRowFunction="sum" dataDxfId="176" totalsRowDxfId="175">
      <calculatedColumnFormula>O146/COLUMNS(C146:N146)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BE6A939-BA64-4A76-BEEB-F355CBD63717}" name="Table13" displayName="Table13" ref="B153:P165" totalsRowCount="1" headerRowDxfId="174" dataDxfId="172" headerRowBorderDxfId="173" tableBorderDxfId="171" totalsRowBorderDxfId="170" dataCellStyle="Comma">
  <tableColumns count="15">
    <tableColumn id="1" xr3:uid="{D8B3ADCA-3BD3-4B21-9DBD-3C98618C7249}" name="ENTERTAINMENT" totalsRowFunction="custom" dataDxfId="169" totalsRowDxfId="168">
      <totalsRowFormula>"Total "&amp;Table13[[#Headers],[ENTERTAINMENT]]</totalsRowFormula>
    </tableColumn>
    <tableColumn id="2" xr3:uid="{13CAB4C6-0F47-4F03-AA19-4A6C2754D8F1}" name=" Jan " totalsRowFunction="sum" dataDxfId="167" totalsRowDxfId="166" dataCellStyle="Comma"/>
    <tableColumn id="3" xr3:uid="{636AF30C-48EB-4E03-8C7D-CB472F8FDAE5}" name=" Feb " totalsRowFunction="sum" dataDxfId="165" totalsRowDxfId="164" dataCellStyle="Comma"/>
    <tableColumn id="4" xr3:uid="{7A4532DF-5568-40F0-8AB8-7AE0B9073991}" name=" Mar " totalsRowFunction="sum" dataDxfId="163" totalsRowDxfId="162" dataCellStyle="Comma"/>
    <tableColumn id="5" xr3:uid="{8335CA58-2B70-4184-B7A9-12E8EC1C57C6}" name=" Apr " totalsRowFunction="sum" dataDxfId="161" totalsRowDxfId="160" dataCellStyle="Comma"/>
    <tableColumn id="6" xr3:uid="{92F4482C-B2EA-4E4D-81A0-24A597939AE2}" name=" May " totalsRowFunction="sum" dataDxfId="159" totalsRowDxfId="158" dataCellStyle="Comma"/>
    <tableColumn id="7" xr3:uid="{5F6987E6-B9DF-468F-95B1-B6423F8230C3}" name=" Jun " totalsRowFunction="sum" dataDxfId="157" totalsRowDxfId="156" dataCellStyle="Comma"/>
    <tableColumn id="8" xr3:uid="{3D9869B8-94CF-4D4D-882F-7C315E6FBEBA}" name=" Jul " totalsRowFunction="sum" dataDxfId="155" totalsRowDxfId="154" dataCellStyle="Comma"/>
    <tableColumn id="9" xr3:uid="{653B727D-7BF7-4FD6-8315-6199D163A451}" name=" Aug " totalsRowFunction="sum" dataDxfId="153" totalsRowDxfId="152" dataCellStyle="Comma"/>
    <tableColumn id="10" xr3:uid="{E7B124A9-1BEC-4538-A4DF-5D6ACA9F31B6}" name=" Sep " totalsRowFunction="sum" dataDxfId="151" totalsRowDxfId="150" dataCellStyle="Comma"/>
    <tableColumn id="11" xr3:uid="{47D3C255-F297-45A6-BB16-57E87005E5E1}" name=" Oct " totalsRowFunction="sum" dataDxfId="149" totalsRowDxfId="148" dataCellStyle="Comma"/>
    <tableColumn id="12" xr3:uid="{14AAFB81-52E8-44E6-A188-0A784D657430}" name=" Nov " totalsRowFunction="sum" dataDxfId="147" totalsRowDxfId="146" dataCellStyle="Comma"/>
    <tableColumn id="13" xr3:uid="{81D567AE-0F7B-4858-BAB5-5C08EAD1094C}" name=" Dec " totalsRowFunction="sum" dataDxfId="145" totalsRowDxfId="144" dataCellStyle="Comma"/>
    <tableColumn id="14" xr3:uid="{F73911CF-9F4D-422A-BAF3-5B0805487FA2}" name=" Total " totalsRowFunction="sum" dataDxfId="143" totalsRowDxfId="142">
      <calculatedColumnFormula>SUM(C154:N154)</calculatedColumnFormula>
    </tableColumn>
    <tableColumn id="15" xr3:uid="{BE0F1F7F-6D66-49AE-A564-41A13986BD64}" name=" Avg " totalsRowFunction="sum" dataDxfId="141" totalsRowDxfId="140">
      <calculatedColumnFormula>O154/COLUMNS(C154:N154)</calculatedColumnFormula>
    </tableColumn>
  </tableColumns>
  <tableStyleInfo name="TableStyleLight9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E060DF70-EA4B-4525-A165-AA2E0B14E74B}" name="Table14" displayName="Table14" ref="B168:P173" totalsRowCount="1" headerRowDxfId="139" dataDxfId="137" headerRowBorderDxfId="138" tableBorderDxfId="136" totalsRowBorderDxfId="135" dataCellStyle="Comma">
  <tableColumns count="15">
    <tableColumn id="1" xr3:uid="{9FD7F5BE-F80D-4C6E-8A90-FA284EC877D2}" name="PETS" totalsRowFunction="custom" dataDxfId="134" totalsRowDxfId="133">
      <totalsRowFormula>"Total "&amp;Table14[[#Headers],[PETS]]</totalsRowFormula>
    </tableColumn>
    <tableColumn id="2" xr3:uid="{D90A3574-7BA4-43D5-9904-78A75B5F7D80}" name=" Jan " totalsRowFunction="sum" dataDxfId="132" totalsRowDxfId="131" dataCellStyle="Comma"/>
    <tableColumn id="3" xr3:uid="{74E7359F-A4A6-43AB-B59F-0FBFCB9E678C}" name=" Feb " totalsRowFunction="sum" dataDxfId="130" totalsRowDxfId="129" dataCellStyle="Comma"/>
    <tableColumn id="4" xr3:uid="{B6368816-FEB7-4A3C-A18F-53976749789E}" name=" Mar " totalsRowFunction="sum" dataDxfId="128" totalsRowDxfId="127" dataCellStyle="Comma"/>
    <tableColumn id="5" xr3:uid="{5FA44EC7-EE9F-439D-B90C-3F3E195BA37A}" name=" Apr " totalsRowFunction="sum" dataDxfId="126" totalsRowDxfId="125" dataCellStyle="Comma"/>
    <tableColumn id="6" xr3:uid="{555FAD7A-AB57-4106-9A8F-D577C8CFB21C}" name=" May " totalsRowFunction="sum" dataDxfId="124" totalsRowDxfId="123" dataCellStyle="Comma"/>
    <tableColumn id="7" xr3:uid="{DAD7D6DE-B068-4250-A55C-74BD5986783C}" name=" Jun " totalsRowFunction="sum" dataDxfId="122" totalsRowDxfId="121" dataCellStyle="Comma"/>
    <tableColumn id="8" xr3:uid="{F32EC7AB-2995-4C04-B406-F642127E34EC}" name=" Jul " totalsRowFunction="sum" dataDxfId="120" totalsRowDxfId="119" dataCellStyle="Comma"/>
    <tableColumn id="9" xr3:uid="{A54CBAED-ECC4-4B76-B6B5-31076EF5F82A}" name=" Aug " totalsRowFunction="sum" dataDxfId="118" totalsRowDxfId="117" dataCellStyle="Comma"/>
    <tableColumn id="10" xr3:uid="{66461FD4-CC53-497C-9D03-B1D30B0A68A6}" name=" Sep " totalsRowFunction="sum" dataDxfId="116" totalsRowDxfId="115" dataCellStyle="Comma"/>
    <tableColumn id="11" xr3:uid="{65BF5538-1C1D-42A9-9A1E-C242F716A65D}" name=" Oct " totalsRowFunction="sum" dataDxfId="114" totalsRowDxfId="113" dataCellStyle="Comma"/>
    <tableColumn id="12" xr3:uid="{BB376E32-1B57-41D4-98EE-D31BFC4F1E76}" name=" Nov " totalsRowFunction="sum" dataDxfId="112" totalsRowDxfId="111" dataCellStyle="Comma"/>
    <tableColumn id="13" xr3:uid="{774B3BBA-8680-44CA-A2E7-39A59BC6F9DF}" name=" Dec " totalsRowFunction="sum" dataDxfId="110" totalsRowDxfId="109" dataCellStyle="Comma"/>
    <tableColumn id="14" xr3:uid="{11EDF64F-04F2-4AD6-BC2A-D0FD0D14654E}" name=" Total " totalsRowFunction="sum" dataDxfId="108" totalsRowDxfId="107">
      <calculatedColumnFormula>SUM(C169:N169)</calculatedColumnFormula>
    </tableColumn>
    <tableColumn id="15" xr3:uid="{38040807-AF60-4C33-ACEB-B4412B15AF98}" name=" Avg " totalsRowFunction="sum" dataDxfId="106" totalsRowDxfId="105">
      <calculatedColumnFormula>O169/COLUMNS(C169:N169)</calculatedColumnFormula>
    </tableColumn>
  </tableColumns>
  <tableStyleInfo name="TableStyleLight9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E152C87-861E-4ED0-A647-1CE325AAD722}" name="Table15" displayName="Table15" ref="B176:P182" totalsRowCount="1" headerRowDxfId="104" dataDxfId="102" headerRowBorderDxfId="103" tableBorderDxfId="101" totalsRowBorderDxfId="100" dataCellStyle="Comma">
  <tableColumns count="15">
    <tableColumn id="1" xr3:uid="{81A9D75E-A5A4-491E-8612-7B6550300AD4}" name="SUBSCRIPTIONS" totalsRowFunction="custom" dataDxfId="99" totalsRowDxfId="98">
      <totalsRowFormula>"Total "&amp;Table15[[#Headers],[SUBSCRIPTIONS]]</totalsRowFormula>
    </tableColumn>
    <tableColumn id="2" xr3:uid="{DCB80375-102B-4753-BB18-25DB2E1DE69A}" name=" Jan " totalsRowFunction="sum" dataDxfId="97" totalsRowDxfId="96" dataCellStyle="Comma"/>
    <tableColumn id="3" xr3:uid="{C0FE469D-FFCC-43F7-9957-B97060F52DE4}" name=" Feb " totalsRowFunction="sum" dataDxfId="95" totalsRowDxfId="94" dataCellStyle="Comma"/>
    <tableColumn id="4" xr3:uid="{E29785CB-53EB-48DB-AB4A-45D06371F9D8}" name=" Mar " totalsRowFunction="sum" dataDxfId="93" totalsRowDxfId="92" dataCellStyle="Comma"/>
    <tableColumn id="5" xr3:uid="{36261D57-8BCF-42E7-BDD1-4AC794D47925}" name=" Apr " totalsRowFunction="sum" dataDxfId="91" totalsRowDxfId="90" dataCellStyle="Comma"/>
    <tableColumn id="6" xr3:uid="{ED2EF1B0-6ED0-4262-B9E1-1E675A958F2D}" name=" May " totalsRowFunction="sum" dataDxfId="89" totalsRowDxfId="88" dataCellStyle="Comma"/>
    <tableColumn id="7" xr3:uid="{A8592A25-742C-4A99-99D1-71F330A96DFA}" name=" Jun " totalsRowFunction="sum" dataDxfId="87" totalsRowDxfId="86" dataCellStyle="Comma"/>
    <tableColumn id="8" xr3:uid="{36944F69-E729-4749-9CFA-F1E3A226CBBA}" name=" Jul " totalsRowFunction="sum" dataDxfId="85" totalsRowDxfId="84" dataCellStyle="Comma"/>
    <tableColumn id="9" xr3:uid="{ABF2E98A-489B-4375-85F3-CCADB1312F4D}" name=" Aug " totalsRowFunction="sum" dataDxfId="83" totalsRowDxfId="82" dataCellStyle="Comma"/>
    <tableColumn id="10" xr3:uid="{87050787-A105-47A1-80C9-7F3ACC0AACBB}" name=" Sep " totalsRowFunction="sum" dataDxfId="81" totalsRowDxfId="80" dataCellStyle="Comma"/>
    <tableColumn id="11" xr3:uid="{71B89308-D2F6-4851-98A3-07E92A8F6935}" name=" Oct " totalsRowFunction="sum" dataDxfId="79" totalsRowDxfId="78" dataCellStyle="Comma"/>
    <tableColumn id="12" xr3:uid="{3EE3C810-3AED-411E-AAAA-A18BD084D0FD}" name=" Nov " totalsRowFunction="sum" dataDxfId="77" totalsRowDxfId="76" dataCellStyle="Comma"/>
    <tableColumn id="13" xr3:uid="{7761494D-FC85-4BC2-A8F1-FA094C226E3A}" name=" Dec " totalsRowFunction="sum" dataDxfId="75" totalsRowDxfId="74" dataCellStyle="Comma"/>
    <tableColumn id="14" xr3:uid="{B9C2159D-AED0-4E20-8B87-1A1553D083D5}" name=" Total " totalsRowFunction="sum" dataDxfId="73" totalsRowDxfId="72">
      <calculatedColumnFormula>SUM(C177:N177)</calculatedColumnFormula>
    </tableColumn>
    <tableColumn id="15" xr3:uid="{04FE7D00-E70A-4DAC-9177-5A7BEA60A9F8}" name=" Avg " totalsRowFunction="sum" dataDxfId="71" totalsRowDxfId="70">
      <calculatedColumnFormula>O177/COLUMNS(C177:N177)</calculatedColumnFormula>
    </tableColumn>
  </tableColumns>
  <tableStyleInfo name="TableStyleLight9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E0DC1A58-FD81-4479-8BB7-719CCC484218}" name="Table16" displayName="Table16" ref="B185:P192" totalsRowCount="1" headerRowDxfId="69" dataDxfId="67" headerRowBorderDxfId="68" tableBorderDxfId="66" totalsRowBorderDxfId="65" dataCellStyle="Comma">
  <tableColumns count="15">
    <tableColumn id="1" xr3:uid="{EBDE819B-E12F-4892-B1A6-BF4CE6D9AC9C}" name="VACATION" totalsRowFunction="custom" dataDxfId="64" totalsRowDxfId="63">
      <totalsRowFormula>"Total "&amp;Table16[[#Headers],[VACATION]]</totalsRowFormula>
    </tableColumn>
    <tableColumn id="2" xr3:uid="{6949B2DA-81EB-43D2-B01C-BB7FB53B6F25}" name=" Jan " totalsRowFunction="sum" dataDxfId="62" totalsRowDxfId="61" dataCellStyle="Comma"/>
    <tableColumn id="3" xr3:uid="{4614D2C2-A54E-40EC-AC3E-CD8B71DC02AB}" name=" Feb " totalsRowFunction="sum" dataDxfId="60" totalsRowDxfId="59" dataCellStyle="Comma"/>
    <tableColumn id="4" xr3:uid="{25A1DE6D-37B9-4DD7-B848-B4B5F9478C35}" name=" Mar " totalsRowFunction="sum" dataDxfId="58" totalsRowDxfId="57" dataCellStyle="Comma"/>
    <tableColumn id="5" xr3:uid="{90863560-A515-4A55-84A4-D2C685D0386C}" name=" Apr " totalsRowFunction="sum" dataDxfId="56" totalsRowDxfId="55" dataCellStyle="Comma"/>
    <tableColumn id="6" xr3:uid="{C156D9E5-777F-4876-89F5-07D9BF79670F}" name=" May " totalsRowFunction="sum" dataDxfId="54" totalsRowDxfId="53" dataCellStyle="Comma"/>
    <tableColumn id="7" xr3:uid="{7EEF7AA0-F403-47CC-812F-6D2D670202D5}" name=" Jun " totalsRowFunction="sum" dataDxfId="52" totalsRowDxfId="51" dataCellStyle="Comma"/>
    <tableColumn id="8" xr3:uid="{E157882F-7A29-4FCA-8BBD-0EE9864BE210}" name=" Jul " totalsRowFunction="sum" dataDxfId="50" totalsRowDxfId="49" dataCellStyle="Comma"/>
    <tableColumn id="9" xr3:uid="{D1FC339D-3B13-4185-871F-93D816C1E435}" name=" Aug " totalsRowFunction="sum" dataDxfId="48" totalsRowDxfId="47" dataCellStyle="Comma"/>
    <tableColumn id="10" xr3:uid="{DFE71CB8-EBCB-4D86-AD6A-593E7DD9930B}" name=" Sep " totalsRowFunction="sum" dataDxfId="46" totalsRowDxfId="45" dataCellStyle="Comma"/>
    <tableColumn id="11" xr3:uid="{F041290C-D625-4672-85CE-02CA8E343A08}" name=" Oct " totalsRowFunction="sum" dataDxfId="44" totalsRowDxfId="43" dataCellStyle="Comma"/>
    <tableColumn id="12" xr3:uid="{1149A6EF-3EA3-41E7-84C0-986CF06339B6}" name=" Nov " totalsRowFunction="sum" dataDxfId="42" totalsRowDxfId="41" dataCellStyle="Comma"/>
    <tableColumn id="13" xr3:uid="{2A987F3A-E40D-44DE-918D-70634C2925DC}" name=" Dec " totalsRowFunction="sum" dataDxfId="40" totalsRowDxfId="39" dataCellStyle="Comma"/>
    <tableColumn id="14" xr3:uid="{0FFC04B2-4FE4-4852-A28F-0EE03DE0B3FB}" name=" Total " totalsRowFunction="sum" dataDxfId="38" totalsRowDxfId="37">
      <calculatedColumnFormula>SUM(C186:N186)</calculatedColumnFormula>
    </tableColumn>
    <tableColumn id="15" xr3:uid="{3D114258-422D-4B09-8280-1C4A857CC61A}" name=" Avg " totalsRowFunction="sum" dataDxfId="36" totalsRowDxfId="35">
      <calculatedColumnFormula>O186/COLUMNS(C186:N186)</calculatedColumnFormula>
    </tableColumn>
  </tableColumns>
  <tableStyleInfo name="TableStyleLight9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96D2D9C-77B7-4C40-936D-5DF1375C9847}" name="Table17" displayName="Table17" ref="B195:P201" totalsRowCount="1" headerRowDxfId="34" dataDxfId="32" headerRowBorderDxfId="33" tableBorderDxfId="31" totalsRowBorderDxfId="30" dataCellStyle="Comma">
  <tableColumns count="15">
    <tableColumn id="1" xr3:uid="{5D582BD5-FA83-47B0-9B92-5C01DD4DA0C6}" name="MISCELLANEOUS" totalsRowFunction="custom" dataDxfId="29" totalsRowDxfId="28">
      <totalsRowFormula>"Total "&amp;Table17[[#Headers],[MISCELLANEOUS]]</totalsRowFormula>
    </tableColumn>
    <tableColumn id="2" xr3:uid="{7C3A12A1-854F-4993-9B9E-9D1B819AD2A8}" name=" Jan " totalsRowFunction="sum" dataDxfId="27" totalsRowDxfId="26" dataCellStyle="Comma"/>
    <tableColumn id="3" xr3:uid="{157215A4-0E08-4572-A4BE-765F0C4E5FE8}" name=" Feb " totalsRowFunction="sum" dataDxfId="25" totalsRowDxfId="24" dataCellStyle="Comma"/>
    <tableColumn id="4" xr3:uid="{05DAF3B2-78D8-44DE-BFD7-5F2CAAE80312}" name=" Mar " totalsRowFunction="sum" dataDxfId="23" totalsRowDxfId="22" dataCellStyle="Comma"/>
    <tableColumn id="5" xr3:uid="{A04FBA6B-A6DA-4147-A3D1-372F3F754882}" name=" Apr " totalsRowFunction="sum" dataDxfId="21" totalsRowDxfId="20" dataCellStyle="Comma"/>
    <tableColumn id="6" xr3:uid="{B27ED960-22E2-4D7B-A6DA-594955A9C9DD}" name=" May " totalsRowFunction="sum" dataDxfId="19" totalsRowDxfId="18" dataCellStyle="Comma"/>
    <tableColumn id="7" xr3:uid="{C02F1668-1479-4260-8572-F202876C124D}" name=" Jun " totalsRowFunction="sum" dataDxfId="17" totalsRowDxfId="16" dataCellStyle="Comma"/>
    <tableColumn id="8" xr3:uid="{FC046CB5-728D-4E15-8938-87E5DFD2EB88}" name=" Jul " totalsRowFunction="sum" dataDxfId="15" totalsRowDxfId="14" dataCellStyle="Comma"/>
    <tableColumn id="9" xr3:uid="{781E467D-3BB1-4454-BC89-9954B2F6CD49}" name=" Aug " totalsRowFunction="sum" dataDxfId="13" totalsRowDxfId="12" dataCellStyle="Comma"/>
    <tableColumn id="10" xr3:uid="{156CC602-B2FF-4506-B7BF-2151F33ACE6B}" name=" Sep " totalsRowFunction="sum" dataDxfId="11" totalsRowDxfId="10" dataCellStyle="Comma"/>
    <tableColumn id="11" xr3:uid="{9DD7B733-0FF1-4643-9B26-B16E788471AD}" name=" Oct " totalsRowFunction="sum" dataDxfId="9" totalsRowDxfId="8" dataCellStyle="Comma"/>
    <tableColumn id="12" xr3:uid="{63B62769-D433-45BB-8E81-FB5635955383}" name=" Nov " totalsRowFunction="sum" dataDxfId="7" totalsRowDxfId="6" dataCellStyle="Comma"/>
    <tableColumn id="13" xr3:uid="{946F9B6F-7A04-4310-916F-88A4C6BBCEC4}" name=" Dec " totalsRowFunction="sum" dataDxfId="5" totalsRowDxfId="4" dataCellStyle="Comma"/>
    <tableColumn id="14" xr3:uid="{83E3EC3A-AE32-4011-BC5E-6B8100F2512C}" name=" Total " totalsRowFunction="sum" dataDxfId="3" totalsRowDxfId="2">
      <calculatedColumnFormula>SUM(C196:N196)</calculatedColumnFormula>
    </tableColumn>
    <tableColumn id="15" xr3:uid="{99036633-06FC-4EDF-AEAD-7BED908F59CC}" name=" Avg " totalsRowFunction="sum" dataDxfId="1" totalsRowDxfId="0">
      <calculatedColumnFormula>O196/COLUMNS(C196:N196)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A46A34-67A4-41F2-BB43-83B27CCE72F1}" name="Table2" displayName="Table2" ref="B36:P43" totalsRowCount="1" headerRowDxfId="559" dataDxfId="557" headerRowBorderDxfId="558" tableBorderDxfId="556" totalsRowBorderDxfId="555" dataCellStyle="Comma">
  <tableColumns count="15">
    <tableColumn id="1" xr3:uid="{00E89302-74EB-4AFC-BFCC-229F6EDBFED5}" name="SAVINGS EXPENSE" totalsRowFunction="custom" dataDxfId="554" totalsRowDxfId="553">
      <totalsRowFormula>"Total "&amp;Table2[[#Headers],[SAVINGS EXPENSE]]</totalsRowFormula>
    </tableColumn>
    <tableColumn id="2" xr3:uid="{D7E64844-E845-4A1A-BC9D-0E2271ABDFFF}" name=" Jan " totalsRowFunction="sum" dataDxfId="552" totalsRowDxfId="551" dataCellStyle="Comma"/>
    <tableColumn id="3" xr3:uid="{63BEA3E9-BB5F-449B-BC09-CA08B6A7B0FF}" name=" Feb " totalsRowFunction="sum" dataDxfId="550" totalsRowDxfId="549" dataCellStyle="Comma"/>
    <tableColumn id="4" xr3:uid="{B95079FD-4B6B-4A5A-AB22-B4150004D82D}" name=" Mar " totalsRowFunction="sum" dataDxfId="548" totalsRowDxfId="547" dataCellStyle="Comma"/>
    <tableColumn id="5" xr3:uid="{9F2B7CC3-ADE1-43D7-A7FC-284A181A2874}" name=" Apr " totalsRowFunction="sum" dataDxfId="546" totalsRowDxfId="545" dataCellStyle="Comma"/>
    <tableColumn id="6" xr3:uid="{F32B0136-9BFA-45F0-A189-3AF610797FA4}" name=" May " totalsRowFunction="sum" dataDxfId="544" totalsRowDxfId="543" dataCellStyle="Comma"/>
    <tableColumn id="7" xr3:uid="{7155B990-49F0-4173-88D7-D3DF9D252976}" name=" Jun " totalsRowFunction="sum" dataDxfId="542" totalsRowDxfId="541" dataCellStyle="Comma"/>
    <tableColumn id="8" xr3:uid="{3D7F8F35-426F-4DA8-8FA3-481E89A9DA60}" name=" Jul " totalsRowFunction="sum" dataDxfId="540" totalsRowDxfId="539" dataCellStyle="Comma"/>
    <tableColumn id="9" xr3:uid="{EFF88F5D-59D1-45BC-B786-7385745F4D1D}" name=" Aug " totalsRowFunction="sum" dataDxfId="538" totalsRowDxfId="537" dataCellStyle="Comma"/>
    <tableColumn id="10" xr3:uid="{51A3E4F2-B7B0-4F20-806E-3849F09F3D2E}" name=" Sep " totalsRowFunction="sum" dataDxfId="536" totalsRowDxfId="535" dataCellStyle="Comma"/>
    <tableColumn id="11" xr3:uid="{77E31443-9057-4DA2-A807-040F1478FD49}" name=" Oct " totalsRowFunction="sum" dataDxfId="534" totalsRowDxfId="533" dataCellStyle="Comma"/>
    <tableColumn id="12" xr3:uid="{9D8D3706-3AA3-42FA-899E-F13F063CD2B1}" name=" Nov " totalsRowFunction="sum" dataDxfId="532" totalsRowDxfId="531" dataCellStyle="Comma"/>
    <tableColumn id="13" xr3:uid="{B7043849-70E7-4BA9-A126-D7130EA44650}" name=" Dec " totalsRowFunction="sum" dataDxfId="530" totalsRowDxfId="529" dataCellStyle="Comma"/>
    <tableColumn id="14" xr3:uid="{213B1B5B-A9C9-4C47-AAF5-E2F259FC4ED5}" name=" Total " totalsRowFunction="sum" dataDxfId="528" totalsRowDxfId="527">
      <calculatedColumnFormula>SUM(C37:N37)</calculatedColumnFormula>
    </tableColumn>
    <tableColumn id="15" xr3:uid="{290D0284-F750-49C6-B459-320557F8A8BA}" name=" Avg " totalsRowFunction="sum" dataDxfId="526" totalsRowDxfId="525">
      <calculatedColumnFormula>O37/COLUMNS(C37:N37)</calculatedColumnFormula>
    </tableColumn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CD1A7CA-6966-40E9-8960-9743661368EB}" name="Table3" displayName="Table3" ref="B46:P60" totalsRowCount="1" headerRowDxfId="524" dataDxfId="522" headerRowBorderDxfId="523" tableBorderDxfId="521" totalsRowBorderDxfId="520" dataCellStyle="Comma">
  <tableColumns count="15">
    <tableColumn id="1" xr3:uid="{C26B7137-573E-4871-BD37-D1259ED11940}" name="HOME EXPENSES" totalsRowFunction="custom" dataDxfId="519" totalsRowDxfId="518">
      <totalsRowFormula>"Total "&amp;Table3[[#Headers],[HOME EXPENSES]]</totalsRowFormula>
    </tableColumn>
    <tableColumn id="2" xr3:uid="{75750739-DFBB-4EB2-9D1F-F51FA35BD395}" name=" Jan " totalsRowFunction="sum" dataDxfId="517" totalsRowDxfId="516" dataCellStyle="Comma"/>
    <tableColumn id="3" xr3:uid="{AE5A14CB-29C8-4AD3-8759-DA44B1AFC77C}" name=" Feb " totalsRowFunction="sum" dataDxfId="515" totalsRowDxfId="514" dataCellStyle="Comma"/>
    <tableColumn id="4" xr3:uid="{4DE873F9-3496-427F-BED7-87BAA2BBA954}" name=" Mar " totalsRowFunction="sum" dataDxfId="513" totalsRowDxfId="512" dataCellStyle="Comma"/>
    <tableColumn id="5" xr3:uid="{3E9E345E-E778-4647-ADF5-5BA71A8F83AE}" name=" Apr " totalsRowFunction="sum" dataDxfId="511" totalsRowDxfId="510" dataCellStyle="Comma"/>
    <tableColumn id="6" xr3:uid="{0004F9C7-F2F4-433B-BAFC-599F2662FB92}" name=" May " totalsRowFunction="sum" dataDxfId="509" totalsRowDxfId="508" dataCellStyle="Comma"/>
    <tableColumn id="7" xr3:uid="{EF50D462-E9A9-4158-BF03-8479E7C1EE9A}" name=" Jun " totalsRowFunction="sum" dataDxfId="507" totalsRowDxfId="506" dataCellStyle="Comma"/>
    <tableColumn id="8" xr3:uid="{B4AA803E-911E-472B-AC83-9A3827D222B9}" name=" Jul " totalsRowFunction="sum" dataDxfId="505" totalsRowDxfId="504" dataCellStyle="Comma"/>
    <tableColumn id="9" xr3:uid="{200983F2-62B0-4C4D-8F9D-445283A04A2C}" name=" Aug " totalsRowFunction="sum" dataDxfId="503" totalsRowDxfId="502" dataCellStyle="Comma"/>
    <tableColumn id="10" xr3:uid="{923BA015-1D1A-4020-A46F-7610431E8778}" name=" Sep " totalsRowFunction="sum" dataDxfId="501" totalsRowDxfId="500" dataCellStyle="Comma"/>
    <tableColumn id="11" xr3:uid="{694AD4BD-6CD1-4B2B-9671-37E8D9075456}" name=" Oct " totalsRowFunction="sum" dataDxfId="499" totalsRowDxfId="498" dataCellStyle="Comma"/>
    <tableColumn id="12" xr3:uid="{4BD2535E-1111-40BB-9EA3-CA6E02CAD082}" name=" Nov " totalsRowFunction="sum" dataDxfId="497" totalsRowDxfId="496" dataCellStyle="Comma"/>
    <tableColumn id="13" xr3:uid="{5C5C2EBF-66FD-46BE-A46C-80887D5DAC9D}" name=" Dec " totalsRowFunction="sum" dataDxfId="495" totalsRowDxfId="494" dataCellStyle="Comma"/>
    <tableColumn id="14" xr3:uid="{33D35FF8-482B-4AE8-9453-403169AAEB0B}" name=" Total " totalsRowFunction="sum" dataDxfId="493" totalsRowDxfId="492">
      <calculatedColumnFormula>SUM(C47:N47)</calculatedColumnFormula>
    </tableColumn>
    <tableColumn id="15" xr3:uid="{F34A24CD-4343-4291-948A-0AC6D1E6F073}" name=" Avg " totalsRowFunction="sum" dataDxfId="491" totalsRowDxfId="490">
      <calculatedColumnFormula>O47/COLUMNS(C47:N47)</calculatedColumnFormula>
    </tableColumn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D55E496-4564-4BD1-9F23-BDDA5BEFBAD3}" name="Table4" displayName="Table4" ref="B63:P74" totalsRowCount="1" headerRowDxfId="489" dataDxfId="487" headerRowBorderDxfId="488" tableBorderDxfId="486" totalsRowBorderDxfId="485" dataCellStyle="Comma">
  <tableColumns count="15">
    <tableColumn id="1" xr3:uid="{0DEAD5FA-816C-4D6C-A34D-4C249850E79E}" name="DAILY LIVING" totalsRowFunction="custom" dataDxfId="484" totalsRowDxfId="483">
      <totalsRowFormula>"Total "&amp;Table4[[#Headers],[DAILY LIVING]]</totalsRowFormula>
    </tableColumn>
    <tableColumn id="2" xr3:uid="{7AF8C40B-CDE7-4520-AE31-A397DEC050D4}" name=" Jan " totalsRowFunction="sum" dataDxfId="482" totalsRowDxfId="481" dataCellStyle="Comma"/>
    <tableColumn id="3" xr3:uid="{E294F430-9954-4C71-B9BE-08744DB9458C}" name=" Feb " totalsRowFunction="sum" dataDxfId="480" totalsRowDxfId="479" dataCellStyle="Comma"/>
    <tableColumn id="4" xr3:uid="{19A97CE4-047A-418C-B08D-8FF8D37B481E}" name=" Mar " totalsRowFunction="sum" dataDxfId="478" totalsRowDxfId="477" dataCellStyle="Comma"/>
    <tableColumn id="5" xr3:uid="{F341C438-8C4F-41E5-A8A7-4E6FBDEB8998}" name=" Apr " totalsRowFunction="sum" dataDxfId="476" totalsRowDxfId="475" dataCellStyle="Comma"/>
    <tableColumn id="6" xr3:uid="{8D7A72E6-5373-4C09-888A-A87ECF03826E}" name=" May " totalsRowFunction="sum" dataDxfId="474" totalsRowDxfId="473" dataCellStyle="Comma"/>
    <tableColumn id="7" xr3:uid="{D534C2AC-7419-48E8-82AE-9E58E1CE1578}" name=" Jun " totalsRowFunction="sum" dataDxfId="472" totalsRowDxfId="471" dataCellStyle="Comma"/>
    <tableColumn id="8" xr3:uid="{4BB53C21-48DB-4943-81C4-0D320C1FA99C}" name=" Jul " totalsRowFunction="sum" dataDxfId="470" totalsRowDxfId="469" dataCellStyle="Comma"/>
    <tableColumn id="9" xr3:uid="{8642C8AD-0FEE-480B-8318-26ED9770DCC4}" name=" Aug " totalsRowFunction="sum" dataDxfId="468" totalsRowDxfId="467" dataCellStyle="Comma"/>
    <tableColumn id="10" xr3:uid="{EFCBE88C-8B36-4B97-8766-EC7721DD3B7C}" name=" Sep " totalsRowFunction="sum" dataDxfId="466" totalsRowDxfId="465" dataCellStyle="Comma"/>
    <tableColumn id="11" xr3:uid="{E0569563-6399-465C-A634-772C7ED20B79}" name=" Oct " totalsRowFunction="sum" dataDxfId="464" totalsRowDxfId="463" dataCellStyle="Comma"/>
    <tableColumn id="12" xr3:uid="{94604698-E9DD-4CAD-BFBF-BBC0E440503E}" name=" Nov " totalsRowFunction="sum" dataDxfId="462" totalsRowDxfId="461" dataCellStyle="Comma"/>
    <tableColumn id="13" xr3:uid="{E836D917-4862-4673-8E00-B365F3B9DB21}" name=" Dec " totalsRowFunction="sum" dataDxfId="460" totalsRowDxfId="459" dataCellStyle="Comma"/>
    <tableColumn id="14" xr3:uid="{44CA3444-46A3-4917-8411-12CA852B8E65}" name=" Total " totalsRowFunction="sum" dataDxfId="458" totalsRowDxfId="457">
      <calculatedColumnFormula>SUM(C64:N64)</calculatedColumnFormula>
    </tableColumn>
    <tableColumn id="15" xr3:uid="{6F38EC39-E960-44E9-B412-5D432A7007AF}" name=" Avg " totalsRowFunction="sum" dataDxfId="456" totalsRowDxfId="455">
      <calculatedColumnFormula>O64/COLUMNS(C64:N64)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0005287-2131-4CF6-8B4D-4310F4C0CB01}" name="Table5" displayName="Table5" ref="B77:P86" totalsRowCount="1" headerRowDxfId="454" dataDxfId="452" headerRowBorderDxfId="453" tableBorderDxfId="451" totalsRowBorderDxfId="450" dataCellStyle="Comma">
  <tableColumns count="15">
    <tableColumn id="1" xr3:uid="{E693D885-4FB7-4B93-98BD-4D6B37D94886}" name="CHILDREN" totalsRowFunction="custom" dataDxfId="449" totalsRowDxfId="448">
      <totalsRowFormula>"Total "&amp;Table5[[#Headers],[CHILDREN]]</totalsRowFormula>
    </tableColumn>
    <tableColumn id="2" xr3:uid="{B38E6826-D592-427A-B1AF-FED5873DABB0}" name=" Jan " totalsRowFunction="sum" dataDxfId="447" totalsRowDxfId="446" dataCellStyle="Comma"/>
    <tableColumn id="3" xr3:uid="{D7A42EBC-D461-474D-AEAE-6780888C8319}" name=" Feb " totalsRowFunction="sum" dataDxfId="445" totalsRowDxfId="444" dataCellStyle="Comma"/>
    <tableColumn id="4" xr3:uid="{9ADB8912-567D-4359-949B-D0FE71BEE649}" name=" Mar " totalsRowFunction="sum" dataDxfId="443" totalsRowDxfId="442" dataCellStyle="Comma"/>
    <tableColumn id="5" xr3:uid="{21B4F8EF-4982-4268-9C3A-9BFE53DAE54D}" name=" Apr " totalsRowFunction="sum" dataDxfId="441" totalsRowDxfId="440" dataCellStyle="Comma"/>
    <tableColumn id="6" xr3:uid="{D74CA174-125E-47D7-AABE-A16575F72949}" name=" May " totalsRowFunction="sum" dataDxfId="439" totalsRowDxfId="438" dataCellStyle="Comma"/>
    <tableColumn id="7" xr3:uid="{160EABEC-A9C6-4D0A-B037-B07E078A7E1F}" name=" Jun " totalsRowFunction="sum" dataDxfId="437" totalsRowDxfId="436" dataCellStyle="Comma"/>
    <tableColumn id="8" xr3:uid="{3534B06A-4992-4093-B7B3-CD883458D337}" name=" Jul " totalsRowFunction="sum" dataDxfId="435" totalsRowDxfId="434" dataCellStyle="Comma"/>
    <tableColumn id="9" xr3:uid="{B0FFDCB6-7315-4154-B770-360B3195462F}" name=" Aug " totalsRowFunction="sum" dataDxfId="433" totalsRowDxfId="432" dataCellStyle="Comma"/>
    <tableColumn id="10" xr3:uid="{86BAD0D4-D092-4BB7-9A65-F93BD22D709D}" name=" Sep " totalsRowFunction="sum" dataDxfId="431" totalsRowDxfId="430" dataCellStyle="Comma"/>
    <tableColumn id="11" xr3:uid="{06375CF1-9E0E-4482-829C-4CF9162F26B4}" name=" Oct " totalsRowFunction="sum" dataDxfId="429" totalsRowDxfId="428" dataCellStyle="Comma"/>
    <tableColumn id="12" xr3:uid="{813AC3D8-A38F-4D7C-A76B-7DF320B130DD}" name=" Nov " totalsRowFunction="sum" dataDxfId="427" totalsRowDxfId="426" dataCellStyle="Comma"/>
    <tableColumn id="13" xr3:uid="{783ED813-263D-4455-89C3-8FA90974EC66}" name=" Dec " totalsRowFunction="sum" dataDxfId="425" totalsRowDxfId="424" dataCellStyle="Comma"/>
    <tableColumn id="14" xr3:uid="{EBFD5FEE-31EB-4C11-8CF2-A4FF1A4A25BA}" name=" Total " totalsRowFunction="sum" dataDxfId="423" totalsRowDxfId="422">
      <calculatedColumnFormula>SUM(C78:N78)</calculatedColumnFormula>
    </tableColumn>
    <tableColumn id="15" xr3:uid="{1713C1DD-0C87-4BEA-8E3D-02112C9E66C6}" name=" Avg " totalsRowFunction="sum" dataDxfId="421" totalsRowDxfId="420">
      <calculatedColumnFormula>O78/COLUMNS(C78:N78)</calculatedColumnFormula>
    </tableColumn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1DB3313-E2DE-45FA-9278-7258E638C60F}" name="Table6" displayName="Table6" ref="B89:P96" totalsRowCount="1" headerRowDxfId="419" dataDxfId="417" headerRowBorderDxfId="418" tableBorderDxfId="416" totalsRowBorderDxfId="415" dataCellStyle="Comma">
  <tableColumns count="15">
    <tableColumn id="1" xr3:uid="{68C565D9-2F1B-45EA-9E9F-89EB8A3E77D0}" name="TRANSPORTATION" totalsRowFunction="custom" dataDxfId="414" totalsRowDxfId="413">
      <totalsRowFormula>"Total "&amp;Table6[[#Headers],[TRANSPORTATION]]</totalsRowFormula>
    </tableColumn>
    <tableColumn id="2" xr3:uid="{45F6813E-2AD0-4DB1-B412-4736DAB039EA}" name=" Jan " totalsRowFunction="custom" dataDxfId="412" totalsRowDxfId="411" dataCellStyle="Comma">
      <totalsRowFormula>SUBTOTAL(109,Table6[ [ Jan ] ])</totalsRowFormula>
    </tableColumn>
    <tableColumn id="3" xr3:uid="{4FF024D2-D155-4C1A-B197-8F6B82875BE9}" name=" Feb " totalsRowFunction="custom" dataDxfId="410" totalsRowDxfId="409" dataCellStyle="Comma">
      <totalsRowFormula>SUBTOTAL(109,Table6[ [ Feb ] ])</totalsRowFormula>
    </tableColumn>
    <tableColumn id="4" xr3:uid="{CAB72EC4-BB9C-4027-A9A2-E65BC51040F6}" name=" Mar " totalsRowFunction="custom" dataDxfId="408" totalsRowDxfId="407" dataCellStyle="Comma">
      <totalsRowFormula>SUBTOTAL(109,Table6[ [ Mar ] ])</totalsRowFormula>
    </tableColumn>
    <tableColumn id="5" xr3:uid="{F7A1BEA2-E2C1-42E4-8AF2-1FB55FEC42E4}" name=" Apr " totalsRowFunction="custom" dataDxfId="406" totalsRowDxfId="405" dataCellStyle="Comma">
      <totalsRowFormula>SUBTOTAL(109,Table6[ [ Apr ] ])</totalsRowFormula>
    </tableColumn>
    <tableColumn id="6" xr3:uid="{64D8D1A6-1876-4C0E-985D-563352623EB8}" name=" May " totalsRowFunction="custom" dataDxfId="404" totalsRowDxfId="403" dataCellStyle="Comma">
      <totalsRowFormula>SUBTOTAL(109,Table6[ [ May ] ])</totalsRowFormula>
    </tableColumn>
    <tableColumn id="7" xr3:uid="{3993AC20-3A47-4481-A1B7-9D5CBDD3B5C4}" name=" Jun " totalsRowFunction="custom" dataDxfId="402" totalsRowDxfId="401" dataCellStyle="Comma">
      <totalsRowFormula>SUBTOTAL(109,Table6[ [ Jun ] ])</totalsRowFormula>
    </tableColumn>
    <tableColumn id="8" xr3:uid="{1DED478D-C1AD-4693-A21D-4CDF16F80F5B}" name=" Jul " totalsRowFunction="custom" dataDxfId="400" totalsRowDxfId="399" dataCellStyle="Comma">
      <totalsRowFormula>SUBTOTAL(109,Table6[ [ Jul ] ])</totalsRowFormula>
    </tableColumn>
    <tableColumn id="9" xr3:uid="{877816AC-0276-4F8A-B71E-790C1A2F14D5}" name=" Aug " totalsRowFunction="custom" dataDxfId="398" totalsRowDxfId="397" dataCellStyle="Comma">
      <totalsRowFormula>SUBTOTAL(109,Table6[ [ Aug ] ])</totalsRowFormula>
    </tableColumn>
    <tableColumn id="10" xr3:uid="{97CF5EAC-0F5A-471C-8EB2-FA0F836C34BF}" name=" Sep " totalsRowFunction="custom" dataDxfId="396" totalsRowDxfId="395" dataCellStyle="Comma">
      <totalsRowFormula>SUBTOTAL(109,Table6[ [ Sep ] ])</totalsRowFormula>
    </tableColumn>
    <tableColumn id="11" xr3:uid="{D60F2C59-37C8-4998-9368-51A78281DD94}" name=" Oct " totalsRowFunction="custom" dataDxfId="394" totalsRowDxfId="393" dataCellStyle="Comma">
      <totalsRowFormula>SUBTOTAL(109,Table6[ [ Oct ] ])</totalsRowFormula>
    </tableColumn>
    <tableColumn id="12" xr3:uid="{C1D7ACD6-D914-4C0F-A9BE-6CE8BBC54BC9}" name=" Nov " totalsRowFunction="custom" dataDxfId="392" totalsRowDxfId="391" dataCellStyle="Comma">
      <totalsRowFormula>SUBTOTAL(109,Table6[ [ Nov ] ])</totalsRowFormula>
    </tableColumn>
    <tableColumn id="13" xr3:uid="{ED65A0BD-6975-4868-BDDA-B74944FD1F99}" name=" Dec " totalsRowFunction="custom" dataDxfId="390" totalsRowDxfId="389" dataCellStyle="Comma">
      <totalsRowFormula>SUBTOTAL(109,Table6[ [ Dec ] ])</totalsRowFormula>
    </tableColumn>
    <tableColumn id="14" xr3:uid="{2D7D5F54-EC84-41AC-ACA1-D3279BB7290B}" name=" Total " totalsRowFunction="custom" dataDxfId="388" totalsRowDxfId="387">
      <calculatedColumnFormula>SUM(C90:N90)</calculatedColumnFormula>
      <totalsRowFormula>SUBTOTAL(109,Table6[ [ Total ] ])</totalsRowFormula>
    </tableColumn>
    <tableColumn id="15" xr3:uid="{4B9F79BC-2DDE-4E9B-91DC-FD8FB851E3CE}" name=" Avg " totalsRowFunction="sum" dataDxfId="386" totalsRowDxfId="385">
      <calculatedColumnFormula>O90/COLUMNS(C90:N90)</calculatedColumnFormula>
    </tableColumn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08BCE08-860E-4670-BCB4-FE77B79ABB69}" name="Table7" displayName="Table7" ref="B99:P105" totalsRowCount="1" headerRowDxfId="384" dataDxfId="382" headerRowBorderDxfId="383" tableBorderDxfId="381" totalsRowBorderDxfId="380" dataCellStyle="Comma">
  <tableColumns count="15">
    <tableColumn id="1" xr3:uid="{265D4AB7-9EAC-48E3-9705-67B968174058}" name="HEALTH" totalsRowFunction="custom" dataDxfId="379" totalsRowDxfId="378">
      <totalsRowFormula>"Total "&amp;Table7[[#Headers],[HEALTH]]</totalsRowFormula>
    </tableColumn>
    <tableColumn id="2" xr3:uid="{79539F30-6223-4CF1-B2D2-B70D752F2F7A}" name=" Jan " totalsRowFunction="sum" dataDxfId="377" totalsRowDxfId="376" dataCellStyle="Comma"/>
    <tableColumn id="3" xr3:uid="{66D2BC73-B192-437A-B38F-CC88C7861C9E}" name=" Feb " totalsRowFunction="sum" dataDxfId="375" totalsRowDxfId="374" dataCellStyle="Comma"/>
    <tableColumn id="4" xr3:uid="{AE9C47E0-486F-4C34-A7F7-D9778BE37A77}" name=" Mar " totalsRowFunction="sum" dataDxfId="373" totalsRowDxfId="372" dataCellStyle="Comma"/>
    <tableColumn id="5" xr3:uid="{3DE172C1-EE42-4607-B85F-3D3B0399380B}" name=" Apr " totalsRowFunction="sum" dataDxfId="371" totalsRowDxfId="370" dataCellStyle="Comma"/>
    <tableColumn id="6" xr3:uid="{ACE92695-6864-4586-8BEA-D6758C86ACBA}" name=" May " totalsRowFunction="sum" dataDxfId="369" totalsRowDxfId="368" dataCellStyle="Comma"/>
    <tableColumn id="7" xr3:uid="{295679EA-FCC1-464F-BA17-97A8AC520D51}" name=" Jun " totalsRowFunction="sum" dataDxfId="367" totalsRowDxfId="366" dataCellStyle="Comma"/>
    <tableColumn id="8" xr3:uid="{B8E70E29-9168-48FC-B03D-336E3FB7B420}" name=" Jul " totalsRowFunction="sum" dataDxfId="365" totalsRowDxfId="364" dataCellStyle="Comma"/>
    <tableColumn id="9" xr3:uid="{CDE9B283-F652-4B0A-8F10-F6CB7EC5CCA4}" name=" Aug " totalsRowFunction="sum" dataDxfId="363" totalsRowDxfId="362" dataCellStyle="Comma"/>
    <tableColumn id="10" xr3:uid="{9A18CC9F-0CA0-4543-AD79-2A9414DCEEF5}" name=" Sep " totalsRowFunction="sum" dataDxfId="361" totalsRowDxfId="360" dataCellStyle="Comma"/>
    <tableColumn id="11" xr3:uid="{82F8F6C6-9F99-4ADA-952E-760BA869B9C0}" name=" Oct " totalsRowFunction="sum" dataDxfId="359" totalsRowDxfId="358" dataCellStyle="Comma"/>
    <tableColumn id="12" xr3:uid="{A1E8DE06-3E9A-4B22-AAFB-A7DF75FB53BE}" name=" Nov " totalsRowFunction="sum" dataDxfId="357" totalsRowDxfId="356" dataCellStyle="Comma"/>
    <tableColumn id="13" xr3:uid="{8096D90B-25D1-4DB9-BDB8-6CB7B1795594}" name=" Dec " totalsRowFunction="sum" dataDxfId="355" totalsRowDxfId="354" dataCellStyle="Comma"/>
    <tableColumn id="14" xr3:uid="{27CBD633-711C-476A-8178-C7509743655A}" name=" Total " totalsRowFunction="sum" dataDxfId="353" totalsRowDxfId="352">
      <calculatedColumnFormula>SUM(C100:N100)</calculatedColumnFormula>
    </tableColumn>
    <tableColumn id="15" xr3:uid="{4002E700-B162-4D66-A9D9-9FDF1D8EB2E8}" name=" Avg " totalsRowFunction="sum" dataDxfId="351" totalsRowDxfId="350">
      <calculatedColumnFormula>O100/COLUMNS(C100:N100)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323AB32-5315-4221-9BC4-88C0A41459AB}" name="Table8" displayName="Table8" ref="B108:P114" totalsRowCount="1" headerRowDxfId="349" dataDxfId="347" headerRowBorderDxfId="348" tableBorderDxfId="346" totalsRowBorderDxfId="345" dataCellStyle="Comma">
  <tableColumns count="15">
    <tableColumn id="1" xr3:uid="{FF146931-A336-4646-BBE1-DE66FB3FCB85}" name="INSURANCE" totalsRowFunction="custom" dataDxfId="344" totalsRowDxfId="343">
      <totalsRowFormula>"Total "&amp;Table8[[#Headers],[INSURANCE]]</totalsRowFormula>
    </tableColumn>
    <tableColumn id="2" xr3:uid="{698A49FB-5D20-4FCE-B40F-0E1F7B0A9B6C}" name=" Jan " totalsRowFunction="sum" dataDxfId="342" totalsRowDxfId="341" dataCellStyle="Comma"/>
    <tableColumn id="3" xr3:uid="{9814B228-01B3-4A92-BC07-24EBB2C416AD}" name=" Feb " totalsRowFunction="sum" dataDxfId="340" totalsRowDxfId="339" dataCellStyle="Comma"/>
    <tableColumn id="4" xr3:uid="{684A4B16-E9AE-4A3F-8266-805442032FD7}" name=" Mar " totalsRowFunction="sum" dataDxfId="338" totalsRowDxfId="337" dataCellStyle="Comma"/>
    <tableColumn id="5" xr3:uid="{07446D3B-6E2F-4B4F-9448-A8FE8E79D15F}" name=" Apr " totalsRowFunction="sum" dataDxfId="336" totalsRowDxfId="335" dataCellStyle="Comma"/>
    <tableColumn id="6" xr3:uid="{79D4F762-4C92-489D-8374-33FA6FD7B5B3}" name=" May " totalsRowFunction="sum" dataDxfId="334" totalsRowDxfId="333" dataCellStyle="Comma"/>
    <tableColumn id="7" xr3:uid="{719D5AD4-1C41-4FF4-87DF-6E96C4ED8875}" name=" Jun " totalsRowFunction="sum" dataDxfId="332" totalsRowDxfId="331" dataCellStyle="Comma"/>
    <tableColumn id="8" xr3:uid="{8C7DDD61-004F-4245-9B09-C6F4F7594FCB}" name=" Jul " totalsRowFunction="sum" dataDxfId="330" totalsRowDxfId="329" dataCellStyle="Comma"/>
    <tableColumn id="9" xr3:uid="{EB099D24-6936-46E6-820E-9D6EBB16A617}" name=" Aug " totalsRowFunction="sum" dataDxfId="328" totalsRowDxfId="327" dataCellStyle="Comma"/>
    <tableColumn id="10" xr3:uid="{6A5AF695-9604-4F57-B65C-C3CCB99E36E3}" name=" Sep " totalsRowFunction="sum" dataDxfId="326" totalsRowDxfId="325" dataCellStyle="Comma"/>
    <tableColumn id="11" xr3:uid="{C4CED860-7BBE-4302-983E-9E76A7E0AB33}" name=" Oct " totalsRowFunction="sum" dataDxfId="324" totalsRowDxfId="323" dataCellStyle="Comma"/>
    <tableColumn id="12" xr3:uid="{FFD6E08C-26A3-470F-B9E0-9A2E65227F3C}" name=" Nov " totalsRowFunction="sum" dataDxfId="322" totalsRowDxfId="321" dataCellStyle="Comma"/>
    <tableColumn id="13" xr3:uid="{3E6FAB7F-FA3A-4FF7-8CE6-87E8517F1534}" name=" Dec " totalsRowFunction="sum" dataDxfId="320" totalsRowDxfId="319" dataCellStyle="Comma"/>
    <tableColumn id="14" xr3:uid="{078351C4-B133-444F-8334-4B560FF7745D}" name=" Total " totalsRowFunction="sum" dataDxfId="318" totalsRowDxfId="317">
      <calculatedColumnFormula>SUM(C109:N109)</calculatedColumnFormula>
    </tableColumn>
    <tableColumn id="15" xr3:uid="{A178871C-39FE-428D-B9F9-B7E176D36144}" name=" Avg " totalsRowFunction="sum" dataDxfId="316" totalsRowDxfId="315">
      <calculatedColumnFormula>O109/COLUMNS(C109:N109)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97FCA10-B36C-4B99-8F5E-6FC89AF59A48}" name="Table9" displayName="Table9" ref="B117:P122" totalsRowCount="1" headerRowDxfId="314" dataDxfId="312" headerRowBorderDxfId="313" tableBorderDxfId="311" totalsRowBorderDxfId="310" dataCellStyle="Comma">
  <tableColumns count="15">
    <tableColumn id="1" xr3:uid="{7DF431FA-2CD3-4218-AECF-0039716B0863}" name="EDUCATION" totalsRowFunction="custom" dataDxfId="309" totalsRowDxfId="308">
      <totalsRowFormula>"Total "&amp;Table9[[#Headers],[EDUCATION]]</totalsRowFormula>
    </tableColumn>
    <tableColumn id="2" xr3:uid="{F01C16CD-A2D0-446A-BA71-82E682116B91}" name=" Jan " totalsRowFunction="sum" dataDxfId="307" totalsRowDxfId="306" dataCellStyle="Comma"/>
    <tableColumn id="3" xr3:uid="{83E84622-69EC-460D-9B6F-8C7F6AEC20CB}" name=" Feb " totalsRowFunction="sum" dataDxfId="305" totalsRowDxfId="304" dataCellStyle="Comma"/>
    <tableColumn id="4" xr3:uid="{8539A223-1F7C-4237-92A8-9B5F81F38F17}" name=" Mar " totalsRowFunction="sum" dataDxfId="303" totalsRowDxfId="302" dataCellStyle="Comma"/>
    <tableColumn id="5" xr3:uid="{0FC010F4-0EB3-40FA-B5FC-CF31543B5FFA}" name=" Apr " totalsRowFunction="sum" dataDxfId="301" totalsRowDxfId="300" dataCellStyle="Comma"/>
    <tableColumn id="6" xr3:uid="{1901D3CE-301C-4B57-B167-4F4AF98BBD23}" name=" May " totalsRowFunction="sum" dataDxfId="299" totalsRowDxfId="298" dataCellStyle="Comma"/>
    <tableColumn id="7" xr3:uid="{F2C403E5-E430-49DE-B604-45566A4E969F}" name=" Jun " totalsRowFunction="sum" dataDxfId="297" totalsRowDxfId="296" dataCellStyle="Comma"/>
    <tableColumn id="8" xr3:uid="{29D911F6-D574-4939-92D6-355DFE199078}" name=" Jul " totalsRowFunction="sum" dataDxfId="295" totalsRowDxfId="294" dataCellStyle="Comma"/>
    <tableColumn id="9" xr3:uid="{84062932-1334-434E-8516-C700089A14E2}" name=" Aug " totalsRowFunction="sum" dataDxfId="293" totalsRowDxfId="292" dataCellStyle="Comma"/>
    <tableColumn id="10" xr3:uid="{7E264586-34D0-4E4E-973B-C07B68DAB015}" name=" Sep " totalsRowFunction="sum" dataDxfId="291" totalsRowDxfId="290" dataCellStyle="Comma"/>
    <tableColumn id="11" xr3:uid="{89B69FA8-0EC7-46DD-9783-D7E724276B83}" name=" Oct " totalsRowFunction="sum" dataDxfId="289" totalsRowDxfId="288" dataCellStyle="Comma"/>
    <tableColumn id="12" xr3:uid="{52FDC9D2-468D-4BD7-A641-8B81CE0005A2}" name=" Nov " totalsRowFunction="sum" dataDxfId="287" totalsRowDxfId="286" dataCellStyle="Comma"/>
    <tableColumn id="13" xr3:uid="{00D65504-8DB4-4095-BD05-5595FA52C794}" name=" Dec " totalsRowFunction="sum" dataDxfId="285" totalsRowDxfId="284" dataCellStyle="Comma"/>
    <tableColumn id="14" xr3:uid="{7B2B58BE-A47C-4F69-8A81-17E9AF3EE832}" name=" Total " totalsRowFunction="sum" dataDxfId="283" totalsRowDxfId="282">
      <calculatedColumnFormula>SUM(C118:N118)</calculatedColumnFormula>
    </tableColumn>
    <tableColumn id="15" xr3:uid="{3D77550E-8332-4822-A7C1-90B01D1BD8E6}" name=" Avg " totalsRowFunction="sum" dataDxfId="281" totalsRowDxfId="280">
      <calculatedColumnFormula>O118/COLUMNS(C118:N118)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202"/>
  <sheetViews>
    <sheetView showGridLines="0" tabSelected="1" topLeftCell="A2" workbookViewId="0">
      <selection activeCell="B36" sqref="B36"/>
    </sheetView>
  </sheetViews>
  <sheetFormatPr defaultRowHeight="15" x14ac:dyDescent="0.35"/>
  <cols>
    <col min="1" max="1" width="3" customWidth="1"/>
    <col min="2" max="2" width="24.88671875" style="1" customWidth="1"/>
    <col min="3" max="3" width="8.109375" style="1" customWidth="1"/>
    <col min="4" max="4" width="8.44140625" style="1" customWidth="1"/>
    <col min="5" max="5" width="8.77734375" style="1" customWidth="1"/>
    <col min="6" max="6" width="8.44140625" style="1" customWidth="1"/>
    <col min="7" max="7" width="9" style="1" customWidth="1"/>
    <col min="8" max="8" width="8.21875" style="1" customWidth="1"/>
    <col min="9" max="9" width="8" style="1" customWidth="1"/>
    <col min="10" max="10" width="8.6640625" style="1" customWidth="1"/>
    <col min="11" max="11" width="8.44140625" style="1" customWidth="1"/>
    <col min="12" max="12" width="8.33203125" style="1" customWidth="1"/>
    <col min="13" max="13" width="8.6640625" style="1" customWidth="1"/>
    <col min="14" max="14" width="8.44140625" style="1" customWidth="1"/>
    <col min="15" max="15" width="9.77734375" style="1" customWidth="1"/>
    <col min="16" max="16" width="8.5546875" style="1" customWidth="1"/>
    <col min="17" max="17" width="3.21875" customWidth="1"/>
  </cols>
  <sheetData>
    <row r="1" spans="2:16" ht="42.6" customHeight="1" thickBot="1" x14ac:dyDescent="0.35">
      <c r="B1" s="55" t="s">
        <v>133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2:16" ht="14.4" customHeight="1" x14ac:dyDescent="0.3"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2:16" x14ac:dyDescent="0.35">
      <c r="B3" s="42" t="s">
        <v>132</v>
      </c>
      <c r="C3" s="43">
        <v>2025</v>
      </c>
      <c r="G3" s="3"/>
      <c r="H3" s="3"/>
      <c r="I3" s="4" t="s">
        <v>0</v>
      </c>
      <c r="J3" s="5">
        <v>300</v>
      </c>
      <c r="K3" s="2"/>
      <c r="L3" s="2"/>
      <c r="M3" s="2"/>
      <c r="N3" s="6"/>
      <c r="O3" s="6"/>
      <c r="P3" s="7"/>
    </row>
    <row r="4" spans="2:16" x14ac:dyDescent="0.35">
      <c r="B4"/>
      <c r="C4"/>
      <c r="D4"/>
      <c r="G4" s="3"/>
      <c r="H4" s="3"/>
      <c r="I4" s="4" t="s">
        <v>1</v>
      </c>
      <c r="J4" s="5">
        <v>1000</v>
      </c>
      <c r="K4" s="2"/>
      <c r="L4" s="2"/>
      <c r="M4" s="2"/>
      <c r="N4" s="8" t="s">
        <v>2</v>
      </c>
      <c r="O4" s="6"/>
      <c r="P4" s="9"/>
    </row>
    <row r="5" spans="2:16" ht="14.4" x14ac:dyDescent="0.3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2:16" ht="14.4" x14ac:dyDescent="0.3">
      <c r="B6" s="12" t="s">
        <v>3</v>
      </c>
      <c r="C6" s="12" t="s">
        <v>4</v>
      </c>
      <c r="D6" s="12" t="s">
        <v>5</v>
      </c>
      <c r="E6" s="12" t="s">
        <v>6</v>
      </c>
      <c r="F6" s="12" t="s">
        <v>7</v>
      </c>
      <c r="G6" s="12" t="s">
        <v>8</v>
      </c>
      <c r="H6" s="12" t="s">
        <v>9</v>
      </c>
      <c r="I6" s="12" t="s">
        <v>10</v>
      </c>
      <c r="J6" s="12" t="s">
        <v>11</v>
      </c>
      <c r="K6" s="12" t="s">
        <v>12</v>
      </c>
      <c r="L6" s="12" t="s">
        <v>13</v>
      </c>
      <c r="M6" s="12" t="s">
        <v>14</v>
      </c>
      <c r="N6" s="12" t="s">
        <v>15</v>
      </c>
      <c r="O6" s="12" t="s">
        <v>16</v>
      </c>
      <c r="P6" s="12" t="s">
        <v>17</v>
      </c>
    </row>
    <row r="7" spans="2:16" ht="14.4" x14ac:dyDescent="0.3">
      <c r="B7" s="13" t="s">
        <v>18</v>
      </c>
      <c r="C7" s="14">
        <f>Table1[[#Totals],[ Jan ]]</f>
        <v>0</v>
      </c>
      <c r="D7" s="14">
        <f>Table1[[#Totals],[ Feb ]]</f>
        <v>0</v>
      </c>
      <c r="E7" s="14">
        <f>Table1[[#Totals],[ Mar ]]</f>
        <v>0</v>
      </c>
      <c r="F7" s="14">
        <f>Table1[[#Totals],[ Apr ]]</f>
        <v>0</v>
      </c>
      <c r="G7" s="14">
        <f>Table1[[#Totals],[ May ]]</f>
        <v>0</v>
      </c>
      <c r="H7" s="14">
        <f>Table1[[#Totals],[ Jun ]]</f>
        <v>0</v>
      </c>
      <c r="I7" s="14">
        <f>Table1[[#Totals],[ Jul ]]</f>
        <v>0</v>
      </c>
      <c r="J7" s="14">
        <f>Table1[[#Totals],[ Aug ]]</f>
        <v>0</v>
      </c>
      <c r="K7" s="14">
        <f>Table1[[#Totals],[ Sep ]]</f>
        <v>0</v>
      </c>
      <c r="L7" s="14">
        <f>Table1[[#Totals],[ Oct ]]</f>
        <v>0</v>
      </c>
      <c r="M7" s="14">
        <f>Table1[[#Totals],[ Nov ]]</f>
        <v>0</v>
      </c>
      <c r="N7" s="14">
        <f>Table1[[#Totals],[ Dec ]]</f>
        <v>0</v>
      </c>
      <c r="O7" s="15">
        <f>SUM(C7:N7)</f>
        <v>0</v>
      </c>
      <c r="P7" s="15">
        <f>O7/COLUMNS(C7:N7)</f>
        <v>0</v>
      </c>
    </row>
    <row r="8" spans="2:16" ht="14.4" x14ac:dyDescent="0.3">
      <c r="B8" s="16" t="s">
        <v>19</v>
      </c>
      <c r="C8" s="17">
        <f>Table2[[#Totals],[ Jan ]]+Table3[[#Totals],[ Jan ]]+Table4[[#Totals],[ Jan ]]+Table5[[#Totals],[ Jan ]]+Table6[[#Totals],[ Jan ]]+Table7[[#Totals],[ Jan ]]+Table8[[#Totals],[ Jan ]]+Table9[[#Totals],[ Jan ]]+Table10[[#Totals],[ Jan ]]+Table11[[#Totals],[ Jan ]]+Table12[[#Totals],[ Jan ]]+Table13[[#Totals],[ Jan ]]+Table14[[#Totals],[ Jan ]]+Table15[[#Totals],[ Jan ]]+Table16[[#Totals],[ Jan ]]+Table17[[#Totals],[ Jan ]]</f>
        <v>0</v>
      </c>
      <c r="D8" s="17">
        <f>Table2[[#Totals],[ Feb ]]+Table3[[#Totals],[ Feb ]]+Table4[[#Totals],[ Feb ]]+Table5[[#Totals],[ Feb ]]+Table6[[#Totals],[ Feb ]]+Table7[[#Totals],[ Feb ]]+Table8[[#Totals],[ Feb ]]+Table9[[#Totals],[ Feb ]]+Table10[[#Totals],[ Feb ]]+Table11[[#Totals],[ Feb ]]+Table12[[#Totals],[ Feb ]]+Table13[[#Totals],[ Feb ]]+Table14[[#Totals],[ Feb ]]+Table15[[#Totals],[ Feb ]]+Table16[[#Totals],[ Feb ]]+Table17[[#Totals],[ Feb ]]</f>
        <v>0</v>
      </c>
      <c r="E8" s="17">
        <f>Table2[[#Totals],[ Mar ]]+Table3[[#Totals],[ Mar ]]+Table4[[#Totals],[ Mar ]]+Table5[[#Totals],[ Mar ]]+Table6[[#Totals],[ Mar ]]+Table7[[#Totals],[ Mar ]]+Table8[[#Totals],[ Mar ]]+Table9[[#Totals],[ Mar ]]+Table10[[#Totals],[ Mar ]]+Table11[[#Totals],[ Mar ]]+Table12[[#Totals],[ Mar ]]+Table13[[#Totals],[ Mar ]]+Table14[[#Totals],[ Mar ]]+Table15[[#Totals],[ Mar ]]+Table16[[#Totals],[ Mar ]]+Table17[[#Totals],[ Mar ]]</f>
        <v>0</v>
      </c>
      <c r="F8" s="17">
        <f>Table2[[#Totals],[ Apr ]]+Table3[[#Totals],[ Apr ]]+Table4[[#Totals],[ Apr ]]+Table5[[#Totals],[ Apr ]]+Table6[[#Totals],[ Apr ]]+Table7[[#Totals],[ Apr ]]+Table8[[#Totals],[ Apr ]]+Table9[[#Totals],[ Apr ]]+Table10[[#Totals],[ Apr ]]+Table11[[#Totals],[ Apr ]]+Table12[[#Totals],[ Apr ]]+Table13[[#Totals],[ Apr ]]+Table14[[#Totals],[ Apr ]]+Table15[[#Totals],[ Apr ]]+Table16[[#Totals],[ Apr ]]+Table17[[#Totals],[ Apr ]]</f>
        <v>0</v>
      </c>
      <c r="G8" s="17">
        <f>Table2[[#Totals],[ May ]]+Table3[[#Totals],[ May ]]+Table4[[#Totals],[ May ]]+Table5[[#Totals],[ May ]]+Table6[[#Totals],[ May ]]+Table7[[#Totals],[ May ]]+Table8[[#Totals],[ May ]]+Table9[[#Totals],[ May ]]+Table10[[#Totals],[ May ]]+Table11[[#Totals],[ May ]]+Table12[[#Totals],[ May ]]+Table13[[#Totals],[ May ]]+Table14[[#Totals],[ May ]]+Table15[[#Totals],[ May ]]+Table16[[#Totals],[ May ]]+Table17[[#Totals],[ May ]]</f>
        <v>0</v>
      </c>
      <c r="H8" s="17">
        <f>Table2[[#Totals],[ Jun ]]+Table3[[#Totals],[ Jun ]]+Table4[[#Totals],[ Jun ]]+Table5[[#Totals],[ Jun ]]+Table6[[#Totals],[ Jun ]]+Table7[[#Totals],[ Jun ]]+Table8[[#Totals],[ Jun ]]+Table9[[#Totals],[ Jun ]]+Table10[[#Totals],[ Jun ]]+Table11[[#Totals],[ Jun ]]+Table12[[#Totals],[ Jun ]]+Table13[[#Totals],[ Jun ]]+Table14[[#Totals],[ Jun ]]+Table15[[#Totals],[ Jun ]]+Table16[[#Totals],[ Jun ]]+Table17[[#Totals],[ Jun ]]</f>
        <v>0</v>
      </c>
      <c r="I8" s="17">
        <f>Table2[[#Totals],[ Jul ]]+Table3[[#Totals],[ Jul ]]+Table4[[#Totals],[ Jul ]]+Table5[[#Totals],[ Jul ]]+Table6[[#Totals],[ Jul ]]+Table7[[#Totals],[ Jul ]]+Table8[[#Totals],[ Jul ]]+Table9[[#Totals],[ Jul ]]+Table10[[#Totals],[ Jul ]]+Table11[[#Totals],[ Jul ]]+Table12[[#Totals],[ Jul ]]+Table13[[#Totals],[ Jul ]]+Table14[[#Totals],[ Jul ]]+Table15[[#Totals],[ Jul ]]+Table16[[#Totals],[ Jul ]]+Table17[[#Totals],[ Jul ]]</f>
        <v>0</v>
      </c>
      <c r="J8" s="17">
        <f>Table2[[#Totals],[ Aug ]]+Table3[[#Totals],[ Aug ]]+Table4[[#Totals],[ Aug ]]+Table5[[#Totals],[ Aug ]]+Table6[[#Totals],[ Aug ]]+Table7[[#Totals],[ Aug ]]+Table8[[#Totals],[ Aug ]]+Table9[[#Totals],[ Aug ]]+Table10[[#Totals],[ Aug ]]+Table11[[#Totals],[ Aug ]]+Table12[[#Totals],[ Aug ]]+Table13[[#Totals],[ Aug ]]+Table14[[#Totals],[ Aug ]]+Table15[[#Totals],[ Aug ]]+Table16[[#Totals],[ Aug ]]+Table17[[#Totals],[ Aug ]]</f>
        <v>0</v>
      </c>
      <c r="K8" s="17">
        <f>Table2[[#Totals],[ Sep ]]+Table3[[#Totals],[ Sep ]]+Table4[[#Totals],[ Sep ]]+Table5[[#Totals],[ Sep ]]+Table6[[#Totals],[ Sep ]]+Table7[[#Totals],[ Sep ]]+Table8[[#Totals],[ Sep ]]+Table9[[#Totals],[ Sep ]]+Table10[[#Totals],[ Sep ]]+Table11[[#Totals],[ Sep ]]+Table12[[#Totals],[ Sep ]]+Table13[[#Totals],[ Sep ]]+Table14[[#Totals],[ Sep ]]+Table15[[#Totals],[ Sep ]]+Table16[[#Totals],[ Sep ]]+Table17[[#Totals],[ Sep ]]</f>
        <v>0</v>
      </c>
      <c r="L8" s="17">
        <f>Table2[[#Totals],[ Oct ]]+Table3[[#Totals],[ Oct ]]+Table4[[#Totals],[ Oct ]]+Table5[[#Totals],[ Oct ]]+Table6[[#Totals],[ Oct ]]+Table7[[#Totals],[ Oct ]]+Table8[[#Totals],[ Oct ]]+Table9[[#Totals],[ Oct ]]+Table10[[#Totals],[ Oct ]]+Table11[[#Totals],[ Oct ]]+Table12[[#Totals],[ Oct ]]+Table13[[#Totals],[ Oct ]]+Table14[[#Totals],[ Oct ]]+Table15[[#Totals],[ Oct ]]+Table16[[#Totals],[ Oct ]]+Table17[[#Totals],[ Oct ]]</f>
        <v>0</v>
      </c>
      <c r="M8" s="17">
        <f>Table2[[#Totals],[ Nov ]]+Table3[[#Totals],[ Nov ]]+Table4[[#Totals],[ Nov ]]+Table5[[#Totals],[ Nov ]]+Table6[[#Totals],[ Nov ]]+Table7[[#Totals],[ Nov ]]+Table8[[#Totals],[ Nov ]]+Table9[[#Totals],[ Nov ]]+Table10[[#Totals],[ Nov ]]+Table11[[#Totals],[ Nov ]]+Table12[[#Totals],[ Nov ]]+Table13[[#Totals],[ Nov ]]+Table14[[#Totals],[ Nov ]]+Table15[[#Totals],[ Nov ]]+Table16[[#Totals],[ Nov ]]+Table17[[#Totals],[ Nov ]]</f>
        <v>0</v>
      </c>
      <c r="N8" s="17">
        <f>Table2[[#Totals],[ Dec ]]+Table3[[#Totals],[ Dec ]]+Table4[[#Totals],[ Dec ]]+Table5[[#Totals],[ Dec ]]+Table6[[#Totals],[ Dec ]]+Table7[[#Totals],[ Dec ]]+Table8[[#Totals],[ Dec ]]+Table9[[#Totals],[ Dec ]]+Table10[[#Totals],[ Dec ]]+Table11[[#Totals],[ Dec ]]+Table12[[#Totals],[ Dec ]]+Table13[[#Totals],[ Dec ]]+Table14[[#Totals],[ Dec ]]+Table15[[#Totals],[ Dec ]]+Table16[[#Totals],[ Dec ]]+Table17[[#Totals],[ Dec ]]</f>
        <v>0</v>
      </c>
      <c r="O8" s="18">
        <f>SUM(C8:N8)</f>
        <v>0</v>
      </c>
      <c r="P8" s="18">
        <f>O8/COLUMNS(C8:N8)</f>
        <v>0</v>
      </c>
    </row>
    <row r="9" spans="2:16" ht="14.4" x14ac:dyDescent="0.3">
      <c r="B9" s="19" t="s">
        <v>20</v>
      </c>
      <c r="C9" s="20">
        <f>C7-C8</f>
        <v>0</v>
      </c>
      <c r="D9" s="20">
        <f t="shared" ref="D9:N9" si="0">D7-D8</f>
        <v>0</v>
      </c>
      <c r="E9" s="20">
        <f t="shared" si="0"/>
        <v>0</v>
      </c>
      <c r="F9" s="20">
        <f t="shared" si="0"/>
        <v>0</v>
      </c>
      <c r="G9" s="20">
        <f t="shared" si="0"/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0">
        <f t="shared" si="0"/>
        <v>0</v>
      </c>
      <c r="L9" s="20">
        <f t="shared" si="0"/>
        <v>0</v>
      </c>
      <c r="M9" s="20">
        <f t="shared" si="0"/>
        <v>0</v>
      </c>
      <c r="N9" s="20">
        <f t="shared" si="0"/>
        <v>0</v>
      </c>
      <c r="O9" s="20">
        <f>SUM(C9:N9)</f>
        <v>0</v>
      </c>
      <c r="P9" s="20">
        <f>O9/COLUMNS(C9:N9)</f>
        <v>0</v>
      </c>
    </row>
    <row r="10" spans="2:16" ht="14.4" x14ac:dyDescent="0.3">
      <c r="B10" s="21" t="s">
        <v>21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3">
        <f>SUM(C10:N10)</f>
        <v>0</v>
      </c>
      <c r="P10" s="23">
        <f>O10/COLUMNS(C10:N10)</f>
        <v>0</v>
      </c>
    </row>
    <row r="11" spans="2:16" ht="14.4" x14ac:dyDescent="0.3">
      <c r="B11" s="21" t="s">
        <v>22</v>
      </c>
      <c r="C11" s="24">
        <f>C7-C8+J3</f>
        <v>300</v>
      </c>
      <c r="D11" s="24">
        <f t="shared" ref="D11:N11" si="1">C11+D7-D8</f>
        <v>300</v>
      </c>
      <c r="E11" s="24">
        <f t="shared" si="1"/>
        <v>300</v>
      </c>
      <c r="F11" s="24">
        <f t="shared" si="1"/>
        <v>300</v>
      </c>
      <c r="G11" s="24">
        <f t="shared" si="1"/>
        <v>300</v>
      </c>
      <c r="H11" s="24">
        <f t="shared" si="1"/>
        <v>300</v>
      </c>
      <c r="I11" s="24">
        <f t="shared" si="1"/>
        <v>300</v>
      </c>
      <c r="J11" s="24">
        <f t="shared" si="1"/>
        <v>300</v>
      </c>
      <c r="K11" s="24">
        <f t="shared" si="1"/>
        <v>300</v>
      </c>
      <c r="L11" s="24">
        <f t="shared" si="1"/>
        <v>300</v>
      </c>
      <c r="M11" s="24">
        <f t="shared" si="1"/>
        <v>300</v>
      </c>
      <c r="N11" s="24">
        <f t="shared" si="1"/>
        <v>300</v>
      </c>
      <c r="O11" s="25"/>
      <c r="P11" s="25"/>
    </row>
    <row r="12" spans="2:16" ht="14.4" x14ac:dyDescent="0.3">
      <c r="B12" s="21" t="s">
        <v>23</v>
      </c>
      <c r="C12" s="24">
        <f>Table2[[#Totals],[ Jan ]]+J4-C33+C10</f>
        <v>1000</v>
      </c>
      <c r="D12" s="24">
        <f>Table2[[#Totals],[ Feb ]]+C12-D33+D10</f>
        <v>1000</v>
      </c>
      <c r="E12" s="24">
        <f>Table2[[#Totals],[ Mar ]]+D12-E33+E10</f>
        <v>1000</v>
      </c>
      <c r="F12" s="24">
        <f>Table2[[#Totals],[ Apr ]]+E12-F33+F10</f>
        <v>1000</v>
      </c>
      <c r="G12" s="24">
        <f>Table2[[#Totals],[ May ]]+F12-G33+G10</f>
        <v>1000</v>
      </c>
      <c r="H12" s="24">
        <f>Table2[[#Totals],[ Jun ]]+G12-H33+H10</f>
        <v>1000</v>
      </c>
      <c r="I12" s="24">
        <f>Table2[[#Totals],[ Jul ]]+H12-I33+I10</f>
        <v>1000</v>
      </c>
      <c r="J12" s="24">
        <f>Table2[[#Totals],[ Aug ]]+I12-J33+J10</f>
        <v>1000</v>
      </c>
      <c r="K12" s="24">
        <f>Table2[[#Totals],[ Sep ]]+J12-K33+K10</f>
        <v>1000</v>
      </c>
      <c r="L12" s="24">
        <f>Table2[[#Totals],[ Oct ]]+K12-L33+L10</f>
        <v>1000</v>
      </c>
      <c r="M12" s="24">
        <f>Table2[[#Totals],[ Nov ]]+L12-M33+M10</f>
        <v>1000</v>
      </c>
      <c r="N12" s="24">
        <f>Table2[[#Totals],[ Dec ]]+M12-N33+N10</f>
        <v>1000</v>
      </c>
      <c r="O12" s="25"/>
      <c r="P12" s="25"/>
    </row>
    <row r="13" spans="2:16" ht="14.4" x14ac:dyDescent="0.3">
      <c r="B13" s="10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2:16" ht="14.4" x14ac:dyDescent="0.3">
      <c r="B14" s="10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6"/>
    </row>
    <row r="15" spans="2:16" ht="14.4" x14ac:dyDescent="0.3">
      <c r="B15" s="10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6"/>
    </row>
    <row r="16" spans="2:16" ht="14.4" x14ac:dyDescent="0.3">
      <c r="B16" s="10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6"/>
    </row>
    <row r="17" spans="2:16" ht="14.4" x14ac:dyDescent="0.3">
      <c r="B17" s="10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6"/>
    </row>
    <row r="18" spans="2:16" ht="14.4" x14ac:dyDescent="0.3">
      <c r="B18" s="10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6"/>
    </row>
    <row r="19" spans="2:16" ht="14.4" x14ac:dyDescent="0.3">
      <c r="B19" s="1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6"/>
    </row>
    <row r="20" spans="2:16" ht="14.4" x14ac:dyDescent="0.3">
      <c r="B20" s="1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6"/>
    </row>
    <row r="21" spans="2:16" ht="14.4" x14ac:dyDescent="0.3">
      <c r="B21" s="10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6"/>
    </row>
    <row r="22" spans="2:16" ht="14.4" x14ac:dyDescent="0.3">
      <c r="B22" s="10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6"/>
    </row>
    <row r="23" spans="2:16" ht="14.4" x14ac:dyDescent="0.3">
      <c r="B23" s="10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6"/>
    </row>
    <row r="24" spans="2:16" ht="14.4" x14ac:dyDescent="0.3">
      <c r="B24" s="10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6"/>
    </row>
    <row r="25" spans="2:16" ht="14.4" x14ac:dyDescent="0.3">
      <c r="B25" s="10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6"/>
    </row>
    <row r="26" spans="2:16" ht="14.4" x14ac:dyDescent="0.3">
      <c r="B26" s="44" t="s">
        <v>24</v>
      </c>
      <c r="C26" s="45" t="s">
        <v>134</v>
      </c>
      <c r="D26" s="45" t="s">
        <v>135</v>
      </c>
      <c r="E26" s="45" t="s">
        <v>136</v>
      </c>
      <c r="F26" s="45" t="s">
        <v>137</v>
      </c>
      <c r="G26" s="45" t="s">
        <v>138</v>
      </c>
      <c r="H26" s="45" t="s">
        <v>139</v>
      </c>
      <c r="I26" s="45" t="s">
        <v>140</v>
      </c>
      <c r="J26" s="45" t="s">
        <v>141</v>
      </c>
      <c r="K26" s="45" t="s">
        <v>142</v>
      </c>
      <c r="L26" s="45" t="s">
        <v>143</v>
      </c>
      <c r="M26" s="45" t="s">
        <v>144</v>
      </c>
      <c r="N26" s="45" t="s">
        <v>145</v>
      </c>
      <c r="O26" s="45" t="s">
        <v>25</v>
      </c>
      <c r="P26" s="45" t="s">
        <v>26</v>
      </c>
    </row>
    <row r="27" spans="2:16" ht="14.4" x14ac:dyDescent="0.3">
      <c r="B27" s="46" t="s">
        <v>27</v>
      </c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27">
        <f>SUM(C27:N27)</f>
        <v>0</v>
      </c>
      <c r="P27" s="27">
        <f>O27/COLUMNS(C27:N27)</f>
        <v>0</v>
      </c>
    </row>
    <row r="28" spans="2:16" ht="14.4" x14ac:dyDescent="0.3">
      <c r="B28" s="46" t="s">
        <v>28</v>
      </c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27">
        <f t="shared" ref="O28:O33" si="2">SUM(C28:N28)</f>
        <v>0</v>
      </c>
      <c r="P28" s="27">
        <f t="shared" ref="P28:P33" si="3">O28/COLUMNS(C28:N28)</f>
        <v>0</v>
      </c>
    </row>
    <row r="29" spans="2:16" ht="14.4" x14ac:dyDescent="0.3">
      <c r="B29" s="46" t="s">
        <v>29</v>
      </c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27">
        <f t="shared" si="2"/>
        <v>0</v>
      </c>
      <c r="P29" s="27">
        <f t="shared" si="3"/>
        <v>0</v>
      </c>
    </row>
    <row r="30" spans="2:16" ht="14.4" x14ac:dyDescent="0.3">
      <c r="B30" s="46" t="s">
        <v>30</v>
      </c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27">
        <f t="shared" si="2"/>
        <v>0</v>
      </c>
      <c r="P30" s="27">
        <f t="shared" si="3"/>
        <v>0</v>
      </c>
    </row>
    <row r="31" spans="2:16" ht="14.4" x14ac:dyDescent="0.3">
      <c r="B31" s="46" t="s">
        <v>31</v>
      </c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27">
        <f t="shared" si="2"/>
        <v>0</v>
      </c>
      <c r="P31" s="27">
        <f t="shared" si="3"/>
        <v>0</v>
      </c>
    </row>
    <row r="32" spans="2:16" ht="14.4" x14ac:dyDescent="0.3">
      <c r="B32" s="46" t="s">
        <v>32</v>
      </c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27">
        <f t="shared" si="2"/>
        <v>0</v>
      </c>
      <c r="P32" s="27">
        <f t="shared" si="3"/>
        <v>0</v>
      </c>
    </row>
    <row r="33" spans="2:16" ht="14.4" x14ac:dyDescent="0.3">
      <c r="B33" s="46" t="s">
        <v>33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27">
        <f t="shared" si="2"/>
        <v>0</v>
      </c>
      <c r="P33" s="27">
        <f t="shared" si="3"/>
        <v>0</v>
      </c>
    </row>
    <row r="34" spans="2:16" ht="14.4" x14ac:dyDescent="0.3">
      <c r="B34" s="48" t="str">
        <f>"Total "&amp;Table1[[#Headers],[INCOME]]</f>
        <v>Total INCOME</v>
      </c>
      <c r="C34" s="49">
        <f>SUBTOTAL(109,Table1[[ Jan ]])</f>
        <v>0</v>
      </c>
      <c r="D34" s="50">
        <f>SUBTOTAL(109,Table1[[ Feb ]])</f>
        <v>0</v>
      </c>
      <c r="E34" s="50">
        <f>SUBTOTAL(109,Table1[[ Mar ]])</f>
        <v>0</v>
      </c>
      <c r="F34" s="50">
        <f>SUBTOTAL(109,Table1[[ Apr ]])</f>
        <v>0</v>
      </c>
      <c r="G34" s="50">
        <f>SUBTOTAL(109,Table1[[ May ]])</f>
        <v>0</v>
      </c>
      <c r="H34" s="50">
        <f>SUBTOTAL(109,Table1[[ Jun ]])</f>
        <v>0</v>
      </c>
      <c r="I34" s="50">
        <f>SUBTOTAL(109,Table1[[ Jul ]])</f>
        <v>0</v>
      </c>
      <c r="J34" s="50">
        <f>SUBTOTAL(109,Table1[[ Aug ]])</f>
        <v>0</v>
      </c>
      <c r="K34" s="50">
        <f>SUBTOTAL(109,Table1[[ Sep ]])</f>
        <v>0</v>
      </c>
      <c r="L34" s="50">
        <f>SUBTOTAL(109,Table1[[ Oct ]])</f>
        <v>0</v>
      </c>
      <c r="M34" s="50">
        <f>SUBTOTAL(109,Table1[[ Nov ]])</f>
        <v>0</v>
      </c>
      <c r="N34" s="51">
        <f>SUBTOTAL(109,Table1[[ Dec ]])</f>
        <v>0</v>
      </c>
      <c r="O34" s="52">
        <f>SUBTOTAL(109,Table1[[ Total ]])</f>
        <v>0</v>
      </c>
      <c r="P34" s="27">
        <f>SUBTOTAL(109,Table1[[ Avg ]])</f>
        <v>0</v>
      </c>
    </row>
    <row r="35" spans="2:16" ht="14.4" x14ac:dyDescent="0.3">
      <c r="B35" s="28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</row>
    <row r="36" spans="2:16" ht="14.4" x14ac:dyDescent="0.3">
      <c r="B36" s="30" t="s">
        <v>34</v>
      </c>
      <c r="C36" s="31" t="s">
        <v>134</v>
      </c>
      <c r="D36" s="31" t="s">
        <v>135</v>
      </c>
      <c r="E36" s="31" t="s">
        <v>136</v>
      </c>
      <c r="F36" s="31" t="s">
        <v>137</v>
      </c>
      <c r="G36" s="31" t="s">
        <v>138</v>
      </c>
      <c r="H36" s="31" t="s">
        <v>139</v>
      </c>
      <c r="I36" s="31" t="s">
        <v>140</v>
      </c>
      <c r="J36" s="31" t="s">
        <v>141</v>
      </c>
      <c r="K36" s="31" t="s">
        <v>142</v>
      </c>
      <c r="L36" s="31" t="s">
        <v>143</v>
      </c>
      <c r="M36" s="31" t="s">
        <v>144</v>
      </c>
      <c r="N36" s="31" t="s">
        <v>145</v>
      </c>
      <c r="O36" s="31" t="s">
        <v>25</v>
      </c>
      <c r="P36" s="31" t="s">
        <v>26</v>
      </c>
    </row>
    <row r="37" spans="2:16" ht="14.4" x14ac:dyDescent="0.3">
      <c r="B37" s="32" t="s">
        <v>35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7">
        <f>SUM(C37:N37)</f>
        <v>0</v>
      </c>
      <c r="P37" s="27">
        <f t="shared" ref="P37:P42" si="4">O37/COLUMNS(C37:N37)</f>
        <v>0</v>
      </c>
    </row>
    <row r="38" spans="2:16" ht="14.4" x14ac:dyDescent="0.3">
      <c r="B38" s="32" t="s">
        <v>36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7">
        <f t="shared" ref="O38:O42" si="5">SUM(C38:N38)</f>
        <v>0</v>
      </c>
      <c r="P38" s="27">
        <f t="shared" si="4"/>
        <v>0</v>
      </c>
    </row>
    <row r="39" spans="2:16" ht="14.4" x14ac:dyDescent="0.3">
      <c r="B39" s="32" t="s">
        <v>37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7">
        <f t="shared" si="5"/>
        <v>0</v>
      </c>
      <c r="P39" s="27">
        <f t="shared" si="4"/>
        <v>0</v>
      </c>
    </row>
    <row r="40" spans="2:16" ht="14.4" x14ac:dyDescent="0.3">
      <c r="B40" s="32" t="s">
        <v>38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7">
        <f t="shared" si="5"/>
        <v>0</v>
      </c>
      <c r="P40" s="27">
        <f t="shared" si="4"/>
        <v>0</v>
      </c>
    </row>
    <row r="41" spans="2:16" ht="14.4" x14ac:dyDescent="0.3">
      <c r="B41" s="32" t="s">
        <v>39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7">
        <f t="shared" si="5"/>
        <v>0</v>
      </c>
      <c r="P41" s="27">
        <f t="shared" si="4"/>
        <v>0</v>
      </c>
    </row>
    <row r="42" spans="2:16" ht="14.4" x14ac:dyDescent="0.3">
      <c r="B42" s="32" t="s">
        <v>32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7">
        <f t="shared" si="5"/>
        <v>0</v>
      </c>
      <c r="P42" s="27">
        <f t="shared" si="4"/>
        <v>0</v>
      </c>
    </row>
    <row r="43" spans="2:16" ht="14.4" x14ac:dyDescent="0.3">
      <c r="B43" s="54" t="str">
        <f>"Total "&amp;Table2[[#Headers],[SAVINGS EXPENSE]]</f>
        <v>Total SAVINGS EXPENSE</v>
      </c>
      <c r="C43" s="53">
        <f>SUBTOTAL(109,Table2[[ Jan ]])</f>
        <v>0</v>
      </c>
      <c r="D43" s="53">
        <f>SUBTOTAL(109,Table2[[ Feb ]])</f>
        <v>0</v>
      </c>
      <c r="E43" s="53">
        <f>SUBTOTAL(109,Table2[[ Mar ]])</f>
        <v>0</v>
      </c>
      <c r="F43" s="53">
        <f>SUBTOTAL(109,Table2[[ Apr ]])</f>
        <v>0</v>
      </c>
      <c r="G43" s="53">
        <f>SUBTOTAL(109,Table2[[ May ]])</f>
        <v>0</v>
      </c>
      <c r="H43" s="53">
        <f>SUBTOTAL(109,Table2[[ Jun ]])</f>
        <v>0</v>
      </c>
      <c r="I43" s="53">
        <f>SUBTOTAL(109,Table2[[ Jul ]])</f>
        <v>0</v>
      </c>
      <c r="J43" s="53">
        <f>SUBTOTAL(109,Table2[[ Aug ]])</f>
        <v>0</v>
      </c>
      <c r="K43" s="53">
        <f>SUBTOTAL(109,Table2[[ Sep ]])</f>
        <v>0</v>
      </c>
      <c r="L43" s="53">
        <f>SUBTOTAL(109,Table2[[ Oct ]])</f>
        <v>0</v>
      </c>
      <c r="M43" s="53">
        <f>SUBTOTAL(109,Table2[[ Nov ]])</f>
        <v>0</v>
      </c>
      <c r="N43" s="53">
        <f>SUBTOTAL(109,Table2[[ Dec ]])</f>
        <v>0</v>
      </c>
      <c r="O43" s="27">
        <f>SUBTOTAL(109,Table2[[ Total ]])</f>
        <v>0</v>
      </c>
      <c r="P43" s="27">
        <f>SUBTOTAL(109,Table2[[ Avg ]])</f>
        <v>0</v>
      </c>
    </row>
    <row r="44" spans="2:16" ht="14.4" x14ac:dyDescent="0.3">
      <c r="B44" s="33" t="s">
        <v>40</v>
      </c>
      <c r="C44" s="34" t="str">
        <f>IFERROR(Table2[[#Totals],[ Jan ]]/C$8, "")</f>
        <v/>
      </c>
      <c r="D44" s="34" t="str">
        <f>IFERROR(Table2[[#Totals],[ Feb ]]/D$8, "")</f>
        <v/>
      </c>
      <c r="E44" s="34" t="str">
        <f>IFERROR(Table2[[#Totals],[ Mar ]]/E$8, "")</f>
        <v/>
      </c>
      <c r="F44" s="34" t="str">
        <f>IFERROR(Table2[[#Totals],[ Apr ]]/F$8, "")</f>
        <v/>
      </c>
      <c r="G44" s="34" t="str">
        <f>IFERROR(Table2[[#Totals],[ May ]]/G$8, "")</f>
        <v/>
      </c>
      <c r="H44" s="34" t="str">
        <f>IFERROR(Table2[[#Totals],[ Jun ]]/H$8, "")</f>
        <v/>
      </c>
      <c r="I44" s="34" t="str">
        <f>IFERROR(Table2[[#Totals],[ Jul ]]/I$8, "")</f>
        <v/>
      </c>
      <c r="J44" s="34" t="str">
        <f>IFERROR(Table2[[#Totals],[ Aug ]]/J$8, "")</f>
        <v/>
      </c>
      <c r="K44" s="34" t="str">
        <f>IFERROR(Table2[[#Totals],[ Sep ]]/K$8, "")</f>
        <v/>
      </c>
      <c r="L44" s="34" t="str">
        <f>IFERROR(Table2[[#Totals],[ Oct ]]/L$8, "")</f>
        <v/>
      </c>
      <c r="M44" s="34" t="str">
        <f>IFERROR(Table2[[#Totals],[ Nov ]]/M$8, "")</f>
        <v/>
      </c>
      <c r="N44" s="34" t="str">
        <f>IFERROR(Table2[[#Totals],[ Dec ]]/N$8, "")</f>
        <v/>
      </c>
      <c r="O44" s="34" t="str">
        <f>IFERROR(Table2[[#Totals],[ Total ]]/O$8, "")</f>
        <v/>
      </c>
      <c r="P44" s="34" t="str">
        <f>IFERROR(Table2[[#Totals],[ Avg ]]/P$8, "")</f>
        <v/>
      </c>
    </row>
    <row r="45" spans="2:16" ht="14.4" x14ac:dyDescent="0.3">
      <c r="B45" s="28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</row>
    <row r="46" spans="2:16" ht="14.4" x14ac:dyDescent="0.3">
      <c r="B46" s="30" t="s">
        <v>41</v>
      </c>
      <c r="C46" s="31" t="s">
        <v>134</v>
      </c>
      <c r="D46" s="31" t="s">
        <v>135</v>
      </c>
      <c r="E46" s="31" t="s">
        <v>136</v>
      </c>
      <c r="F46" s="31" t="s">
        <v>137</v>
      </c>
      <c r="G46" s="31" t="s">
        <v>138</v>
      </c>
      <c r="H46" s="31" t="s">
        <v>139</v>
      </c>
      <c r="I46" s="31" t="s">
        <v>140</v>
      </c>
      <c r="J46" s="31" t="s">
        <v>141</v>
      </c>
      <c r="K46" s="31" t="s">
        <v>142</v>
      </c>
      <c r="L46" s="31" t="s">
        <v>143</v>
      </c>
      <c r="M46" s="31" t="s">
        <v>144</v>
      </c>
      <c r="N46" s="31" t="s">
        <v>145</v>
      </c>
      <c r="O46" s="31" t="s">
        <v>25</v>
      </c>
      <c r="P46" s="31" t="s">
        <v>26</v>
      </c>
    </row>
    <row r="47" spans="2:16" ht="14.4" x14ac:dyDescent="0.3">
      <c r="B47" s="32" t="s">
        <v>42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7">
        <f>SUM(C47:N47)</f>
        <v>0</v>
      </c>
      <c r="P47" s="27">
        <f t="shared" ref="P47:P59" si="6">O47/COLUMNS(C47:N47)</f>
        <v>0</v>
      </c>
    </row>
    <row r="48" spans="2:16" ht="14.4" x14ac:dyDescent="0.3">
      <c r="B48" s="32" t="s">
        <v>43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7">
        <f t="shared" ref="O48:O59" si="7">SUM(C48:N48)</f>
        <v>0</v>
      </c>
      <c r="P48" s="27">
        <f t="shared" si="6"/>
        <v>0</v>
      </c>
    </row>
    <row r="49" spans="2:16" ht="14.4" x14ac:dyDescent="0.3">
      <c r="B49" s="32" t="s">
        <v>44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7">
        <f t="shared" si="7"/>
        <v>0</v>
      </c>
      <c r="P49" s="27">
        <f t="shared" si="6"/>
        <v>0</v>
      </c>
    </row>
    <row r="50" spans="2:16" ht="14.4" x14ac:dyDescent="0.3">
      <c r="B50" s="32" t="s">
        <v>45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7">
        <f t="shared" si="7"/>
        <v>0</v>
      </c>
      <c r="P50" s="27">
        <f t="shared" si="6"/>
        <v>0</v>
      </c>
    </row>
    <row r="51" spans="2:16" ht="14.4" x14ac:dyDescent="0.3">
      <c r="B51" s="32" t="s">
        <v>46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7">
        <f t="shared" si="7"/>
        <v>0</v>
      </c>
      <c r="P51" s="27">
        <f t="shared" si="6"/>
        <v>0</v>
      </c>
    </row>
    <row r="52" spans="2:16" ht="14.4" x14ac:dyDescent="0.3">
      <c r="B52" s="32" t="s">
        <v>47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7">
        <f t="shared" si="7"/>
        <v>0</v>
      </c>
      <c r="P52" s="27">
        <f t="shared" si="6"/>
        <v>0</v>
      </c>
    </row>
    <row r="53" spans="2:16" ht="14.4" x14ac:dyDescent="0.3">
      <c r="B53" s="32" t="s">
        <v>48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7">
        <f t="shared" si="7"/>
        <v>0</v>
      </c>
      <c r="P53" s="27">
        <f t="shared" si="6"/>
        <v>0</v>
      </c>
    </row>
    <row r="54" spans="2:16" ht="14.4" x14ac:dyDescent="0.3">
      <c r="B54" s="32" t="s">
        <v>49</v>
      </c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7">
        <f t="shared" si="7"/>
        <v>0</v>
      </c>
      <c r="P54" s="27">
        <f t="shared" si="6"/>
        <v>0</v>
      </c>
    </row>
    <row r="55" spans="2:16" ht="14.4" x14ac:dyDescent="0.3">
      <c r="B55" s="32" t="s">
        <v>50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7">
        <f t="shared" si="7"/>
        <v>0</v>
      </c>
      <c r="P55" s="27">
        <f t="shared" si="6"/>
        <v>0</v>
      </c>
    </row>
    <row r="56" spans="2:16" ht="14.4" x14ac:dyDescent="0.3">
      <c r="B56" s="32" t="s">
        <v>51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7">
        <f t="shared" si="7"/>
        <v>0</v>
      </c>
      <c r="P56" s="27">
        <f t="shared" si="6"/>
        <v>0</v>
      </c>
    </row>
    <row r="57" spans="2:16" ht="14.4" x14ac:dyDescent="0.3">
      <c r="B57" s="32" t="s">
        <v>52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7">
        <f t="shared" si="7"/>
        <v>0</v>
      </c>
      <c r="P57" s="27">
        <f t="shared" si="6"/>
        <v>0</v>
      </c>
    </row>
    <row r="58" spans="2:16" ht="14.4" x14ac:dyDescent="0.3">
      <c r="B58" s="32" t="s">
        <v>53</v>
      </c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7">
        <f t="shared" si="7"/>
        <v>0</v>
      </c>
      <c r="P58" s="27">
        <f t="shared" si="6"/>
        <v>0</v>
      </c>
    </row>
    <row r="59" spans="2:16" ht="14.4" x14ac:dyDescent="0.3">
      <c r="B59" s="32" t="s">
        <v>32</v>
      </c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7">
        <f t="shared" si="7"/>
        <v>0</v>
      </c>
      <c r="P59" s="27">
        <f t="shared" si="6"/>
        <v>0</v>
      </c>
    </row>
    <row r="60" spans="2:16" ht="14.4" x14ac:dyDescent="0.3">
      <c r="B60" s="54" t="str">
        <f>"Total "&amp;Table3[[#Headers],[HOME EXPENSES]]</f>
        <v>Total HOME EXPENSES</v>
      </c>
      <c r="C60" s="53">
        <f>SUBTOTAL(109,Table3[[ Jan ]])</f>
        <v>0</v>
      </c>
      <c r="D60" s="53">
        <f>SUBTOTAL(109,Table3[[ Feb ]])</f>
        <v>0</v>
      </c>
      <c r="E60" s="53">
        <f>SUBTOTAL(109,Table3[[ Mar ]])</f>
        <v>0</v>
      </c>
      <c r="F60" s="53">
        <f>SUBTOTAL(109,Table3[[ Apr ]])</f>
        <v>0</v>
      </c>
      <c r="G60" s="53">
        <f>SUBTOTAL(109,Table3[[ May ]])</f>
        <v>0</v>
      </c>
      <c r="H60" s="53">
        <f>SUBTOTAL(109,Table3[[ Jun ]])</f>
        <v>0</v>
      </c>
      <c r="I60" s="53">
        <f>SUBTOTAL(109,Table3[[ Jul ]])</f>
        <v>0</v>
      </c>
      <c r="J60" s="53">
        <f>SUBTOTAL(109,Table3[[ Aug ]])</f>
        <v>0</v>
      </c>
      <c r="K60" s="53">
        <f>SUBTOTAL(109,Table3[[ Sep ]])</f>
        <v>0</v>
      </c>
      <c r="L60" s="53">
        <f>SUBTOTAL(109,Table3[[ Oct ]])</f>
        <v>0</v>
      </c>
      <c r="M60" s="53">
        <f>SUBTOTAL(109,Table3[[ Nov ]])</f>
        <v>0</v>
      </c>
      <c r="N60" s="53">
        <f>SUBTOTAL(109,Table3[[ Dec ]])</f>
        <v>0</v>
      </c>
      <c r="O60" s="27">
        <f>SUBTOTAL(109,Table3[[ Total ]])</f>
        <v>0</v>
      </c>
      <c r="P60" s="27">
        <f>SUBTOTAL(109,Table3[[ Avg ]])</f>
        <v>0</v>
      </c>
    </row>
    <row r="61" spans="2:16" ht="14.4" x14ac:dyDescent="0.3">
      <c r="B61" s="33" t="s">
        <v>40</v>
      </c>
      <c r="C61" s="34" t="str">
        <f>IFERROR(Table3[[#Totals],[ Jan ]]/C$8, "")</f>
        <v/>
      </c>
      <c r="D61" s="34" t="str">
        <f>IFERROR(Table3[[#Totals],[ Feb ]]/D$8, "")</f>
        <v/>
      </c>
      <c r="E61" s="34" t="str">
        <f>IFERROR(Table3[[#Totals],[ Mar ]]/E$8, "")</f>
        <v/>
      </c>
      <c r="F61" s="34" t="str">
        <f>IFERROR(Table3[[#Totals],[ Apr ]]/F$8, "")</f>
        <v/>
      </c>
      <c r="G61" s="34" t="str">
        <f>IFERROR(Table3[[#Totals],[ May ]]/G$8, "")</f>
        <v/>
      </c>
      <c r="H61" s="34" t="str">
        <f>IFERROR(Table3[[#Totals],[ Jun ]]/H$8, "")</f>
        <v/>
      </c>
      <c r="I61" s="34" t="str">
        <f>IFERROR(Table3[[#Totals],[ Jul ]]/I$8, "")</f>
        <v/>
      </c>
      <c r="J61" s="34" t="str">
        <f>IFERROR(Table3[[#Totals],[ Aug ]]/J$8, "")</f>
        <v/>
      </c>
      <c r="K61" s="34" t="str">
        <f>IFERROR(Table3[[#Totals],[ Sep ]]/K$8, "")</f>
        <v/>
      </c>
      <c r="L61" s="34" t="str">
        <f>IFERROR(Table3[[#Totals],[ Oct ]]/L$8, "")</f>
        <v/>
      </c>
      <c r="M61" s="34" t="str">
        <f>IFERROR(Table3[[#Totals],[ Nov ]]/M$8, "")</f>
        <v/>
      </c>
      <c r="N61" s="34" t="str">
        <f>IFERROR(Table3[[#Totals],[ Dec ]]/N$8, "")</f>
        <v/>
      </c>
      <c r="O61" s="34" t="str">
        <f>IFERROR(Table3[[#Totals],[ Total ]]/O$8, "")</f>
        <v/>
      </c>
      <c r="P61" s="34" t="str">
        <f>IFERROR(Table3[[#Totals],[ Avg ]]/P$8, "")</f>
        <v/>
      </c>
    </row>
    <row r="62" spans="2:16" ht="14.4" x14ac:dyDescent="0.3">
      <c r="B62" s="28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2:16" ht="14.4" x14ac:dyDescent="0.3">
      <c r="B63" s="30" t="s">
        <v>54</v>
      </c>
      <c r="C63" s="31" t="s">
        <v>134</v>
      </c>
      <c r="D63" s="31" t="s">
        <v>135</v>
      </c>
      <c r="E63" s="31" t="s">
        <v>136</v>
      </c>
      <c r="F63" s="31" t="s">
        <v>137</v>
      </c>
      <c r="G63" s="31" t="s">
        <v>138</v>
      </c>
      <c r="H63" s="31" t="s">
        <v>139</v>
      </c>
      <c r="I63" s="31" t="s">
        <v>140</v>
      </c>
      <c r="J63" s="31" t="s">
        <v>141</v>
      </c>
      <c r="K63" s="31" t="s">
        <v>142</v>
      </c>
      <c r="L63" s="31" t="s">
        <v>143</v>
      </c>
      <c r="M63" s="31" t="s">
        <v>144</v>
      </c>
      <c r="N63" s="31" t="s">
        <v>145</v>
      </c>
      <c r="O63" s="31" t="s">
        <v>25</v>
      </c>
      <c r="P63" s="31" t="s">
        <v>26</v>
      </c>
    </row>
    <row r="64" spans="2:16" ht="14.4" x14ac:dyDescent="0.3">
      <c r="B64" s="32" t="s">
        <v>55</v>
      </c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7">
        <f>SUM(C64:N64)</f>
        <v>0</v>
      </c>
      <c r="P64" s="27">
        <f t="shared" ref="P64:P73" si="8">O64/COLUMNS(C64:N64)</f>
        <v>0</v>
      </c>
    </row>
    <row r="65" spans="2:16" ht="14.4" x14ac:dyDescent="0.3">
      <c r="B65" s="32" t="s">
        <v>56</v>
      </c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7">
        <f t="shared" ref="O65:O73" si="9">SUM(C65:N65)</f>
        <v>0</v>
      </c>
      <c r="P65" s="27">
        <f t="shared" si="8"/>
        <v>0</v>
      </c>
    </row>
    <row r="66" spans="2:16" ht="14.4" x14ac:dyDescent="0.3">
      <c r="B66" s="32" t="s">
        <v>57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7">
        <f t="shared" si="9"/>
        <v>0</v>
      </c>
      <c r="P66" s="27">
        <f t="shared" si="8"/>
        <v>0</v>
      </c>
    </row>
    <row r="67" spans="2:16" ht="14.4" x14ac:dyDescent="0.3">
      <c r="B67" s="32" t="s">
        <v>58</v>
      </c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7">
        <f t="shared" si="9"/>
        <v>0</v>
      </c>
      <c r="P67" s="27">
        <f t="shared" si="8"/>
        <v>0</v>
      </c>
    </row>
    <row r="68" spans="2:16" ht="14.4" x14ac:dyDescent="0.3">
      <c r="B68" s="32" t="s">
        <v>59</v>
      </c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7">
        <f t="shared" si="9"/>
        <v>0</v>
      </c>
      <c r="P68" s="27">
        <f t="shared" si="8"/>
        <v>0</v>
      </c>
    </row>
    <row r="69" spans="2:16" ht="14.4" x14ac:dyDescent="0.3">
      <c r="B69" s="32" t="s">
        <v>60</v>
      </c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7">
        <f t="shared" si="9"/>
        <v>0</v>
      </c>
      <c r="P69" s="27">
        <f t="shared" si="8"/>
        <v>0</v>
      </c>
    </row>
    <row r="70" spans="2:16" ht="14.4" x14ac:dyDescent="0.3">
      <c r="B70" s="32" t="s">
        <v>61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7">
        <f t="shared" si="9"/>
        <v>0</v>
      </c>
      <c r="P70" s="27">
        <f t="shared" si="8"/>
        <v>0</v>
      </c>
    </row>
    <row r="71" spans="2:16" ht="14.4" x14ac:dyDescent="0.3">
      <c r="B71" s="32" t="s">
        <v>62</v>
      </c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7">
        <f t="shared" si="9"/>
        <v>0</v>
      </c>
      <c r="P71" s="27">
        <f t="shared" si="8"/>
        <v>0</v>
      </c>
    </row>
    <row r="72" spans="2:16" ht="14.4" x14ac:dyDescent="0.3">
      <c r="B72" s="32" t="s">
        <v>63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7">
        <f t="shared" si="9"/>
        <v>0</v>
      </c>
      <c r="P72" s="27">
        <f t="shared" si="8"/>
        <v>0</v>
      </c>
    </row>
    <row r="73" spans="2:16" ht="14.4" x14ac:dyDescent="0.3">
      <c r="B73" s="32" t="s">
        <v>32</v>
      </c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7">
        <f t="shared" si="9"/>
        <v>0</v>
      </c>
      <c r="P73" s="27">
        <f t="shared" si="8"/>
        <v>0</v>
      </c>
    </row>
    <row r="74" spans="2:16" ht="14.4" x14ac:dyDescent="0.3">
      <c r="B74" s="54" t="str">
        <f>"Total "&amp;Table4[[#Headers],[DAILY LIVING]]</f>
        <v>Total DAILY LIVING</v>
      </c>
      <c r="C74" s="53">
        <f>SUBTOTAL(109,Table4[[ Jan ]])</f>
        <v>0</v>
      </c>
      <c r="D74" s="53">
        <f>SUBTOTAL(109,Table4[[ Feb ]])</f>
        <v>0</v>
      </c>
      <c r="E74" s="53">
        <f>SUBTOTAL(109,Table4[[ Mar ]])</f>
        <v>0</v>
      </c>
      <c r="F74" s="53">
        <f>SUBTOTAL(109,Table4[[ Apr ]])</f>
        <v>0</v>
      </c>
      <c r="G74" s="53">
        <f>SUBTOTAL(109,Table4[[ May ]])</f>
        <v>0</v>
      </c>
      <c r="H74" s="53">
        <f>SUBTOTAL(109,Table4[[ Jun ]])</f>
        <v>0</v>
      </c>
      <c r="I74" s="53">
        <f>SUBTOTAL(109,Table4[[ Jul ]])</f>
        <v>0</v>
      </c>
      <c r="J74" s="53">
        <f>SUBTOTAL(109,Table4[[ Aug ]])</f>
        <v>0</v>
      </c>
      <c r="K74" s="53">
        <f>SUBTOTAL(109,Table4[[ Sep ]])</f>
        <v>0</v>
      </c>
      <c r="L74" s="53">
        <f>SUBTOTAL(109,Table4[[ Oct ]])</f>
        <v>0</v>
      </c>
      <c r="M74" s="53">
        <f>SUBTOTAL(109,Table4[[ Nov ]])</f>
        <v>0</v>
      </c>
      <c r="N74" s="53">
        <f>SUBTOTAL(109,Table4[[ Dec ]])</f>
        <v>0</v>
      </c>
      <c r="O74" s="27">
        <f>SUBTOTAL(109,Table4[[ Total ]])</f>
        <v>0</v>
      </c>
      <c r="P74" s="27">
        <f>SUBTOTAL(109,Table4[[ Avg ]])</f>
        <v>0</v>
      </c>
    </row>
    <row r="75" spans="2:16" ht="14.4" x14ac:dyDescent="0.3">
      <c r="B75" s="33" t="s">
        <v>40</v>
      </c>
      <c r="C75" s="34" t="str">
        <f>IFERROR(Table4[[#Totals],[ Jan ]]/C$8, "")</f>
        <v/>
      </c>
      <c r="D75" s="34" t="str">
        <f>IFERROR(Table4[[#Totals],[ Feb ]]/D$8, "")</f>
        <v/>
      </c>
      <c r="E75" s="34" t="str">
        <f>IFERROR(Table4[[#Totals],[ Mar ]]/E$8, "")</f>
        <v/>
      </c>
      <c r="F75" s="34" t="str">
        <f>IFERROR(Table4[[#Totals],[ Apr ]]/F$8, "")</f>
        <v/>
      </c>
      <c r="G75" s="34" t="str">
        <f>IFERROR(Table4[[#Totals],[ May ]]/G$8, "")</f>
        <v/>
      </c>
      <c r="H75" s="34" t="str">
        <f>IFERROR(Table4[[#Totals],[ Jun ]]/H$8, "")</f>
        <v/>
      </c>
      <c r="I75" s="34" t="str">
        <f>IFERROR(Table4[[#Totals],[ Jul ]]/I$8, "")</f>
        <v/>
      </c>
      <c r="J75" s="34" t="str">
        <f>IFERROR(Table4[[#Totals],[ Aug ]]/J$8, "")</f>
        <v/>
      </c>
      <c r="K75" s="34" t="str">
        <f>IFERROR(Table4[[#Totals],[ Sep ]]/K$8, "")</f>
        <v/>
      </c>
      <c r="L75" s="34" t="str">
        <f>IFERROR(Table4[[#Totals],[ Oct ]]/L$8, "")</f>
        <v/>
      </c>
      <c r="M75" s="34" t="str">
        <f>IFERROR(Table4[[#Totals],[ Nov ]]/M$8, "")</f>
        <v/>
      </c>
      <c r="N75" s="34" t="str">
        <f>IFERROR(Table4[[#Totals],[ Dec ]]/N$8, "")</f>
        <v/>
      </c>
      <c r="O75" s="34" t="str">
        <f>IFERROR(Table4[[#Totals],[ Total ]]/O$8, "")</f>
        <v/>
      </c>
      <c r="P75" s="34" t="str">
        <f>IFERROR(Table4[[#Totals],[ Avg ]]/P$8, "")</f>
        <v/>
      </c>
    </row>
    <row r="76" spans="2:16" ht="14.4" x14ac:dyDescent="0.3">
      <c r="B76" s="28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</row>
    <row r="77" spans="2:16" ht="14.4" x14ac:dyDescent="0.3">
      <c r="B77" s="30" t="s">
        <v>64</v>
      </c>
      <c r="C77" s="31" t="s">
        <v>134</v>
      </c>
      <c r="D77" s="31" t="s">
        <v>135</v>
      </c>
      <c r="E77" s="31" t="s">
        <v>136</v>
      </c>
      <c r="F77" s="31" t="s">
        <v>137</v>
      </c>
      <c r="G77" s="31" t="s">
        <v>138</v>
      </c>
      <c r="H77" s="31" t="s">
        <v>139</v>
      </c>
      <c r="I77" s="31" t="s">
        <v>140</v>
      </c>
      <c r="J77" s="31" t="s">
        <v>141</v>
      </c>
      <c r="K77" s="31" t="s">
        <v>142</v>
      </c>
      <c r="L77" s="31" t="s">
        <v>143</v>
      </c>
      <c r="M77" s="31" t="s">
        <v>144</v>
      </c>
      <c r="N77" s="31" t="s">
        <v>145</v>
      </c>
      <c r="O77" s="31" t="s">
        <v>25</v>
      </c>
      <c r="P77" s="31" t="s">
        <v>26</v>
      </c>
    </row>
    <row r="78" spans="2:16" ht="14.4" x14ac:dyDescent="0.3">
      <c r="B78" s="32" t="s">
        <v>65</v>
      </c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7">
        <f>SUM(C78:N78)</f>
        <v>0</v>
      </c>
      <c r="P78" s="27">
        <f t="shared" ref="P78:P85" si="10">O78/COLUMNS(C78:N78)</f>
        <v>0</v>
      </c>
    </row>
    <row r="79" spans="2:16" ht="14.4" x14ac:dyDescent="0.3">
      <c r="B79" s="32" t="s">
        <v>57</v>
      </c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7">
        <f t="shared" ref="O79:O85" si="11">SUM(C79:N79)</f>
        <v>0</v>
      </c>
      <c r="P79" s="27">
        <f t="shared" si="10"/>
        <v>0</v>
      </c>
    </row>
    <row r="80" spans="2:16" ht="14.4" x14ac:dyDescent="0.3">
      <c r="B80" s="32" t="s">
        <v>66</v>
      </c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7">
        <f t="shared" si="11"/>
        <v>0</v>
      </c>
      <c r="P80" s="27">
        <f t="shared" si="10"/>
        <v>0</v>
      </c>
    </row>
    <row r="81" spans="2:16" ht="14.4" x14ac:dyDescent="0.3">
      <c r="B81" s="32" t="s">
        <v>67</v>
      </c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7">
        <f t="shared" si="11"/>
        <v>0</v>
      </c>
      <c r="P81" s="27">
        <f t="shared" si="10"/>
        <v>0</v>
      </c>
    </row>
    <row r="82" spans="2:16" ht="14.4" x14ac:dyDescent="0.3">
      <c r="B82" s="32" t="s">
        <v>68</v>
      </c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7">
        <f t="shared" si="11"/>
        <v>0</v>
      </c>
      <c r="P82" s="27">
        <f t="shared" si="10"/>
        <v>0</v>
      </c>
    </row>
    <row r="83" spans="2:16" ht="14.4" x14ac:dyDescent="0.3">
      <c r="B83" s="32" t="s">
        <v>69</v>
      </c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7">
        <f t="shared" si="11"/>
        <v>0</v>
      </c>
      <c r="P83" s="27">
        <f t="shared" si="10"/>
        <v>0</v>
      </c>
    </row>
    <row r="84" spans="2:16" ht="14.4" x14ac:dyDescent="0.3">
      <c r="B84" s="32" t="s">
        <v>70</v>
      </c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7">
        <f t="shared" si="11"/>
        <v>0</v>
      </c>
      <c r="P84" s="27">
        <f t="shared" si="10"/>
        <v>0</v>
      </c>
    </row>
    <row r="85" spans="2:16" ht="14.4" x14ac:dyDescent="0.3">
      <c r="B85" s="32" t="s">
        <v>32</v>
      </c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7">
        <f t="shared" si="11"/>
        <v>0</v>
      </c>
      <c r="P85" s="27">
        <f t="shared" si="10"/>
        <v>0</v>
      </c>
    </row>
    <row r="86" spans="2:16" ht="14.4" x14ac:dyDescent="0.3">
      <c r="B86" s="54" t="str">
        <f>"Total "&amp;Table5[[#Headers],[CHILDREN]]</f>
        <v>Total CHILDREN</v>
      </c>
      <c r="C86" s="53">
        <f>SUBTOTAL(109,Table5[[ Jan ]])</f>
        <v>0</v>
      </c>
      <c r="D86" s="53">
        <f>SUBTOTAL(109,Table5[[ Feb ]])</f>
        <v>0</v>
      </c>
      <c r="E86" s="53">
        <f>SUBTOTAL(109,Table5[[ Mar ]])</f>
        <v>0</v>
      </c>
      <c r="F86" s="53">
        <f>SUBTOTAL(109,Table5[[ Apr ]])</f>
        <v>0</v>
      </c>
      <c r="G86" s="53">
        <f>SUBTOTAL(109,Table5[[ May ]])</f>
        <v>0</v>
      </c>
      <c r="H86" s="53">
        <f>SUBTOTAL(109,Table5[[ Jun ]])</f>
        <v>0</v>
      </c>
      <c r="I86" s="53">
        <f>SUBTOTAL(109,Table5[[ Jul ]])</f>
        <v>0</v>
      </c>
      <c r="J86" s="53">
        <f>SUBTOTAL(109,Table5[[ Aug ]])</f>
        <v>0</v>
      </c>
      <c r="K86" s="53">
        <f>SUBTOTAL(109,Table5[[ Sep ]])</f>
        <v>0</v>
      </c>
      <c r="L86" s="53">
        <f>SUBTOTAL(109,Table5[[ Oct ]])</f>
        <v>0</v>
      </c>
      <c r="M86" s="53">
        <f>SUBTOTAL(109,Table5[[ Nov ]])</f>
        <v>0</v>
      </c>
      <c r="N86" s="53">
        <f>SUBTOTAL(109,Table5[[ Dec ]])</f>
        <v>0</v>
      </c>
      <c r="O86" s="27">
        <f>SUBTOTAL(109,Table5[[ Total ]])</f>
        <v>0</v>
      </c>
      <c r="P86" s="27">
        <f>SUBTOTAL(109,Table5[[ Avg ]])</f>
        <v>0</v>
      </c>
    </row>
    <row r="87" spans="2:16" ht="14.4" x14ac:dyDescent="0.3">
      <c r="B87" s="33" t="s">
        <v>40</v>
      </c>
      <c r="C87" s="34" t="str">
        <f>IFERROR(Table5[[#Totals],[ Jan ]]/C$8, "")</f>
        <v/>
      </c>
      <c r="D87" s="34" t="str">
        <f>IFERROR(Table5[[#Totals],[ Feb ]]/D$8, "")</f>
        <v/>
      </c>
      <c r="E87" s="34" t="str">
        <f>IFERROR(Table5[[#Totals],[ Mar ]]/E$8, "")</f>
        <v/>
      </c>
      <c r="F87" s="34" t="str">
        <f>IFERROR(Table5[[#Totals],[ Apr ]]/F$8, "")</f>
        <v/>
      </c>
      <c r="G87" s="34" t="str">
        <f>IFERROR(Table5[[#Totals],[ May ]]/G$8, "")</f>
        <v/>
      </c>
      <c r="H87" s="34" t="str">
        <f>IFERROR(Table5[[#Totals],[ Jun ]]/H$8, "")</f>
        <v/>
      </c>
      <c r="I87" s="34" t="str">
        <f>IFERROR(Table5[[#Totals],[ Jul ]]/I$8, "")</f>
        <v/>
      </c>
      <c r="J87" s="34" t="str">
        <f>IFERROR(Table5[[#Totals],[ Aug ]]/J$8, "")</f>
        <v/>
      </c>
      <c r="K87" s="34" t="str">
        <f>IFERROR(Table5[[#Totals],[ Sep ]]/K$8, "")</f>
        <v/>
      </c>
      <c r="L87" s="34" t="str">
        <f>IFERROR(Table5[[#Totals],[ Oct ]]/L$8, "")</f>
        <v/>
      </c>
      <c r="M87" s="34" t="str">
        <f>IFERROR(Table5[[#Totals],[ Nov ]]/M$8, "")</f>
        <v/>
      </c>
      <c r="N87" s="34" t="str">
        <f>IFERROR(Table5[[#Totals],[ Dec ]]/N$8, "")</f>
        <v/>
      </c>
      <c r="O87" s="34" t="str">
        <f>IFERROR(Table5[[#Totals],[ Total ]]/O$8, "")</f>
        <v/>
      </c>
      <c r="P87" s="34" t="str">
        <f>IFERROR(Table5[[#Totals],[ Avg ]]/P$8, "")</f>
        <v/>
      </c>
    </row>
    <row r="88" spans="2:16" ht="14.4" x14ac:dyDescent="0.3">
      <c r="B88" s="28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</row>
    <row r="89" spans="2:16" ht="14.4" x14ac:dyDescent="0.3">
      <c r="B89" s="30" t="s">
        <v>71</v>
      </c>
      <c r="C89" s="31" t="s">
        <v>134</v>
      </c>
      <c r="D89" s="31" t="s">
        <v>135</v>
      </c>
      <c r="E89" s="31" t="s">
        <v>136</v>
      </c>
      <c r="F89" s="31" t="s">
        <v>137</v>
      </c>
      <c r="G89" s="31" t="s">
        <v>138</v>
      </c>
      <c r="H89" s="31" t="s">
        <v>139</v>
      </c>
      <c r="I89" s="31" t="s">
        <v>140</v>
      </c>
      <c r="J89" s="31" t="s">
        <v>141</v>
      </c>
      <c r="K89" s="31" t="s">
        <v>142</v>
      </c>
      <c r="L89" s="31" t="s">
        <v>143</v>
      </c>
      <c r="M89" s="31" t="s">
        <v>144</v>
      </c>
      <c r="N89" s="31" t="s">
        <v>145</v>
      </c>
      <c r="O89" s="31" t="s">
        <v>25</v>
      </c>
      <c r="P89" s="31" t="s">
        <v>26</v>
      </c>
    </row>
    <row r="90" spans="2:16" ht="14.4" x14ac:dyDescent="0.3">
      <c r="B90" s="32" t="s">
        <v>72</v>
      </c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7">
        <f>SUM(C90:N90)</f>
        <v>0</v>
      </c>
      <c r="P90" s="27">
        <f t="shared" ref="P90:P95" si="12">O90/COLUMNS(C90:N90)</f>
        <v>0</v>
      </c>
    </row>
    <row r="91" spans="2:16" ht="14.4" x14ac:dyDescent="0.3">
      <c r="B91" s="32" t="s">
        <v>73</v>
      </c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7">
        <f t="shared" ref="O91:O95" si="13">SUM(C91:N91)</f>
        <v>0</v>
      </c>
      <c r="P91" s="27">
        <f t="shared" si="12"/>
        <v>0</v>
      </c>
    </row>
    <row r="92" spans="2:16" ht="14.4" x14ac:dyDescent="0.3">
      <c r="B92" s="32" t="s">
        <v>74</v>
      </c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7">
        <f t="shared" si="13"/>
        <v>0</v>
      </c>
      <c r="P92" s="27">
        <f t="shared" si="12"/>
        <v>0</v>
      </c>
    </row>
    <row r="93" spans="2:16" ht="14.4" x14ac:dyDescent="0.3">
      <c r="B93" s="32" t="s">
        <v>75</v>
      </c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7">
        <f t="shared" si="13"/>
        <v>0</v>
      </c>
      <c r="P93" s="27">
        <f t="shared" si="12"/>
        <v>0</v>
      </c>
    </row>
    <row r="94" spans="2:16" ht="14.4" x14ac:dyDescent="0.3">
      <c r="B94" s="32" t="s">
        <v>76</v>
      </c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7">
        <f t="shared" si="13"/>
        <v>0</v>
      </c>
      <c r="P94" s="27">
        <f t="shared" si="12"/>
        <v>0</v>
      </c>
    </row>
    <row r="95" spans="2:16" ht="14.4" x14ac:dyDescent="0.3">
      <c r="B95" s="32" t="s">
        <v>32</v>
      </c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7">
        <f t="shared" si="13"/>
        <v>0</v>
      </c>
      <c r="P95" s="27">
        <f t="shared" si="12"/>
        <v>0</v>
      </c>
    </row>
    <row r="96" spans="2:16" ht="14.4" x14ac:dyDescent="0.3">
      <c r="B96" s="54" t="str">
        <f>"Total "&amp;Table6[[#Headers],[TRANSPORTATION]]</f>
        <v>Total TRANSPORTATION</v>
      </c>
      <c r="C96" s="53">
        <f>SUBTOTAL(109,Table6[ [ Jan ] ])</f>
        <v>0</v>
      </c>
      <c r="D96" s="53">
        <f>SUBTOTAL(109,Table6[ [ Feb ] ])</f>
        <v>0</v>
      </c>
      <c r="E96" s="53">
        <f>SUBTOTAL(109,Table6[ [ Mar ] ])</f>
        <v>0</v>
      </c>
      <c r="F96" s="53">
        <f>SUBTOTAL(109,Table6[ [ Apr ] ])</f>
        <v>0</v>
      </c>
      <c r="G96" s="53">
        <f>SUBTOTAL(109,Table6[ [ May ] ])</f>
        <v>0</v>
      </c>
      <c r="H96" s="53">
        <f>SUBTOTAL(109,Table6[ [ Jun ] ])</f>
        <v>0</v>
      </c>
      <c r="I96" s="53">
        <f>SUBTOTAL(109,Table6[ [ Jul ] ])</f>
        <v>0</v>
      </c>
      <c r="J96" s="53">
        <f>SUBTOTAL(109,Table6[ [ Aug ] ])</f>
        <v>0</v>
      </c>
      <c r="K96" s="53">
        <f>SUBTOTAL(109,Table6[ [ Sep ] ])</f>
        <v>0</v>
      </c>
      <c r="L96" s="53">
        <f>SUBTOTAL(109,Table6[ [ Oct ] ])</f>
        <v>0</v>
      </c>
      <c r="M96" s="53">
        <f>SUBTOTAL(109,Table6[ [ Nov ] ])</f>
        <v>0</v>
      </c>
      <c r="N96" s="53">
        <f>SUBTOTAL(109,Table6[ [ Dec ] ])</f>
        <v>0</v>
      </c>
      <c r="O96" s="27">
        <f>SUBTOTAL(109,Table6[ [ Total ] ])</f>
        <v>0</v>
      </c>
      <c r="P96" s="27">
        <f>SUBTOTAL(109,Table6[[ Avg ]])</f>
        <v>0</v>
      </c>
    </row>
    <row r="97" spans="2:16" ht="14.4" x14ac:dyDescent="0.3">
      <c r="B97" s="33" t="s">
        <v>40</v>
      </c>
      <c r="C97" s="34" t="str">
        <f>IFERROR(Table6[[#Totals],[ Jan ]]/C$8, "")</f>
        <v/>
      </c>
      <c r="D97" s="34" t="str">
        <f>IFERROR(Table6[[#Totals],[ Feb ]]/D$8, "")</f>
        <v/>
      </c>
      <c r="E97" s="34" t="str">
        <f>IFERROR(Table6[[#Totals],[ Mar ]]/E$8, "")</f>
        <v/>
      </c>
      <c r="F97" s="34" t="str">
        <f>IFERROR(Table6[[#Totals],[ Apr ]]/F$8, "")</f>
        <v/>
      </c>
      <c r="G97" s="34" t="str">
        <f>IFERROR(Table6[[#Totals],[ May ]]/G$8, "")</f>
        <v/>
      </c>
      <c r="H97" s="34" t="str">
        <f>IFERROR(Table6[[#Totals],[ Jun ]]/H$8, "")</f>
        <v/>
      </c>
      <c r="I97" s="34" t="str">
        <f>IFERROR(Table6[[#Totals],[ Jul ]]/I$8, "")</f>
        <v/>
      </c>
      <c r="J97" s="34" t="str">
        <f>IFERROR(Table6[[#Totals],[ Aug ]]/J$8, "")</f>
        <v/>
      </c>
      <c r="K97" s="34" t="str">
        <f>IFERROR(Table6[[#Totals],[ Sep ]]/K$8, "")</f>
        <v/>
      </c>
      <c r="L97" s="34" t="str">
        <f>IFERROR(Table6[[#Totals],[ Oct ]]/L$8, "")</f>
        <v/>
      </c>
      <c r="M97" s="34" t="str">
        <f>IFERROR(Table6[[#Totals],[ Nov ]]/M$8, "")</f>
        <v/>
      </c>
      <c r="N97" s="34" t="str">
        <f>IFERROR(Table6[[#Totals],[ Dec ]]/N$8, "")</f>
        <v/>
      </c>
      <c r="O97" s="34" t="str">
        <f>IFERROR(Table6[[#Totals],[ Total ]]/O$8, "")</f>
        <v/>
      </c>
      <c r="P97" s="34" t="str">
        <f>IFERROR(Table6[[#Totals],[ Avg ]]/P$8, "")</f>
        <v/>
      </c>
    </row>
    <row r="98" spans="2:16" ht="14.4" x14ac:dyDescent="0.3">
      <c r="B98" s="28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</row>
    <row r="99" spans="2:16" ht="14.4" x14ac:dyDescent="0.3">
      <c r="B99" s="30" t="s">
        <v>77</v>
      </c>
      <c r="C99" s="31" t="s">
        <v>134</v>
      </c>
      <c r="D99" s="31" t="s">
        <v>135</v>
      </c>
      <c r="E99" s="31" t="s">
        <v>136</v>
      </c>
      <c r="F99" s="31" t="s">
        <v>137</v>
      </c>
      <c r="G99" s="31" t="s">
        <v>138</v>
      </c>
      <c r="H99" s="31" t="s">
        <v>139</v>
      </c>
      <c r="I99" s="31" t="s">
        <v>140</v>
      </c>
      <c r="J99" s="31" t="s">
        <v>141</v>
      </c>
      <c r="K99" s="31" t="s">
        <v>142</v>
      </c>
      <c r="L99" s="31" t="s">
        <v>143</v>
      </c>
      <c r="M99" s="31" t="s">
        <v>144</v>
      </c>
      <c r="N99" s="31" t="s">
        <v>145</v>
      </c>
      <c r="O99" s="31" t="s">
        <v>25</v>
      </c>
      <c r="P99" s="31" t="s">
        <v>26</v>
      </c>
    </row>
    <row r="100" spans="2:16" ht="14.4" x14ac:dyDescent="0.3">
      <c r="B100" s="32" t="s">
        <v>78</v>
      </c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7">
        <f t="shared" ref="O100" si="14">SUM(C100:N100)</f>
        <v>0</v>
      </c>
      <c r="P100" s="27">
        <f t="shared" ref="P100:P104" si="15">O100/COLUMNS(C100:N100)</f>
        <v>0</v>
      </c>
    </row>
    <row r="101" spans="2:16" ht="14.4" x14ac:dyDescent="0.3">
      <c r="B101" s="32" t="s">
        <v>79</v>
      </c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7">
        <f t="shared" ref="O101:O104" si="16">SUM(C101:N101)</f>
        <v>0</v>
      </c>
      <c r="P101" s="27">
        <f t="shared" si="15"/>
        <v>0</v>
      </c>
    </row>
    <row r="102" spans="2:16" ht="14.4" x14ac:dyDescent="0.3">
      <c r="B102" s="32" t="s">
        <v>80</v>
      </c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7">
        <f t="shared" si="16"/>
        <v>0</v>
      </c>
      <c r="P102" s="27">
        <f t="shared" si="15"/>
        <v>0</v>
      </c>
    </row>
    <row r="103" spans="2:16" ht="14.4" x14ac:dyDescent="0.3">
      <c r="B103" s="32" t="s">
        <v>81</v>
      </c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7">
        <f t="shared" si="16"/>
        <v>0</v>
      </c>
      <c r="P103" s="27">
        <f t="shared" si="15"/>
        <v>0</v>
      </c>
    </row>
    <row r="104" spans="2:16" ht="14.4" x14ac:dyDescent="0.3">
      <c r="B104" s="32" t="s">
        <v>32</v>
      </c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7">
        <f t="shared" si="16"/>
        <v>0</v>
      </c>
      <c r="P104" s="27">
        <f t="shared" si="15"/>
        <v>0</v>
      </c>
    </row>
    <row r="105" spans="2:16" ht="14.4" x14ac:dyDescent="0.3">
      <c r="B105" s="54" t="str">
        <f>"Total "&amp;Table7[[#Headers],[HEALTH]]</f>
        <v>Total HEALTH</v>
      </c>
      <c r="C105" s="53">
        <f>SUBTOTAL(109,Table7[[ Jan ]])</f>
        <v>0</v>
      </c>
      <c r="D105" s="53">
        <f>SUBTOTAL(109,Table7[[ Feb ]])</f>
        <v>0</v>
      </c>
      <c r="E105" s="53">
        <f>SUBTOTAL(109,Table7[[ Mar ]])</f>
        <v>0</v>
      </c>
      <c r="F105" s="53">
        <f>SUBTOTAL(109,Table7[[ Apr ]])</f>
        <v>0</v>
      </c>
      <c r="G105" s="53">
        <f>SUBTOTAL(109,Table7[[ May ]])</f>
        <v>0</v>
      </c>
      <c r="H105" s="53">
        <f>SUBTOTAL(109,Table7[[ Jun ]])</f>
        <v>0</v>
      </c>
      <c r="I105" s="53">
        <f>SUBTOTAL(109,Table7[[ Jul ]])</f>
        <v>0</v>
      </c>
      <c r="J105" s="53">
        <f>SUBTOTAL(109,Table7[[ Aug ]])</f>
        <v>0</v>
      </c>
      <c r="K105" s="53">
        <f>SUBTOTAL(109,Table7[[ Sep ]])</f>
        <v>0</v>
      </c>
      <c r="L105" s="53">
        <f>SUBTOTAL(109,Table7[[ Oct ]])</f>
        <v>0</v>
      </c>
      <c r="M105" s="53">
        <f>SUBTOTAL(109,Table7[[ Nov ]])</f>
        <v>0</v>
      </c>
      <c r="N105" s="53">
        <f>SUBTOTAL(109,Table7[[ Dec ]])</f>
        <v>0</v>
      </c>
      <c r="O105" s="27">
        <f>SUBTOTAL(109,Table7[[ Total ]])</f>
        <v>0</v>
      </c>
      <c r="P105" s="27">
        <f>SUBTOTAL(109,Table7[[ Avg ]])</f>
        <v>0</v>
      </c>
    </row>
    <row r="106" spans="2:16" ht="14.4" x14ac:dyDescent="0.3">
      <c r="B106" s="33" t="s">
        <v>40</v>
      </c>
      <c r="C106" s="34" t="str">
        <f>IFERROR(Table7[[#Totals],[ Jan ]]/C$8,"")</f>
        <v/>
      </c>
      <c r="D106" s="34" t="str">
        <f>IFERROR(Table7[[#Totals],[ Feb ]]/D$8,"")</f>
        <v/>
      </c>
      <c r="E106" s="34" t="str">
        <f>IFERROR(Table7[[#Totals],[ Mar ]]/E$8,"")</f>
        <v/>
      </c>
      <c r="F106" s="34" t="str">
        <f>IFERROR(Table7[[#Totals],[ Apr ]]/F$8,"")</f>
        <v/>
      </c>
      <c r="G106" s="34" t="str">
        <f>IFERROR(Table7[[#Totals],[ May ]]/G$8,"")</f>
        <v/>
      </c>
      <c r="H106" s="34" t="str">
        <f>IFERROR(Table7[[#Totals],[ Jun ]]/H$8,"")</f>
        <v/>
      </c>
      <c r="I106" s="34" t="str">
        <f>IFERROR(Table7[[#Totals],[ Jul ]]/I$8,"")</f>
        <v/>
      </c>
      <c r="J106" s="34" t="str">
        <f>IFERROR(Table7[[#Totals],[ Aug ]]/J$8,"")</f>
        <v/>
      </c>
      <c r="K106" s="34" t="str">
        <f>IFERROR(Table7[[#Totals],[ Sep ]]/K$8,"")</f>
        <v/>
      </c>
      <c r="L106" s="34" t="str">
        <f>IFERROR(Table7[[#Totals],[ Oct ]]/L$8,"")</f>
        <v/>
      </c>
      <c r="M106" s="34" t="str">
        <f>IFERROR(Table7[[#Totals],[ Nov ]]/M$8,"")</f>
        <v/>
      </c>
      <c r="N106" s="34" t="str">
        <f>IFERROR(Table7[[#Totals],[ Dec ]]/N$8,"")</f>
        <v/>
      </c>
      <c r="O106" s="34" t="str">
        <f>IFERROR(Table7[[#Totals],[ Total ]]/O$8,"")</f>
        <v/>
      </c>
      <c r="P106" s="34" t="str">
        <f>IFERROR(Table7[[#Totals],[ Avg ]]/P$8,"")</f>
        <v/>
      </c>
    </row>
    <row r="107" spans="2:16" ht="14.4" x14ac:dyDescent="0.3">
      <c r="B107" s="28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</row>
    <row r="108" spans="2:16" ht="14.4" x14ac:dyDescent="0.3">
      <c r="B108" s="30" t="s">
        <v>82</v>
      </c>
      <c r="C108" s="31" t="s">
        <v>134</v>
      </c>
      <c r="D108" s="31" t="s">
        <v>135</v>
      </c>
      <c r="E108" s="31" t="s">
        <v>136</v>
      </c>
      <c r="F108" s="31" t="s">
        <v>137</v>
      </c>
      <c r="G108" s="31" t="s">
        <v>138</v>
      </c>
      <c r="H108" s="31" t="s">
        <v>139</v>
      </c>
      <c r="I108" s="31" t="s">
        <v>140</v>
      </c>
      <c r="J108" s="31" t="s">
        <v>141</v>
      </c>
      <c r="K108" s="31" t="s">
        <v>142</v>
      </c>
      <c r="L108" s="31" t="s">
        <v>143</v>
      </c>
      <c r="M108" s="31" t="s">
        <v>144</v>
      </c>
      <c r="N108" s="31" t="s">
        <v>145</v>
      </c>
      <c r="O108" s="31" t="s">
        <v>25</v>
      </c>
      <c r="P108" s="31" t="s">
        <v>26</v>
      </c>
    </row>
    <row r="109" spans="2:16" ht="14.4" x14ac:dyDescent="0.3">
      <c r="B109" s="32" t="s">
        <v>83</v>
      </c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7">
        <f t="shared" ref="O109" si="17">SUM(C109:N109)</f>
        <v>0</v>
      </c>
      <c r="P109" s="27">
        <f t="shared" ref="P109:P113" si="18">O109/COLUMNS(C109:N109)</f>
        <v>0</v>
      </c>
    </row>
    <row r="110" spans="2:16" ht="14.4" x14ac:dyDescent="0.3">
      <c r="B110" s="32" t="s">
        <v>84</v>
      </c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7">
        <f t="shared" ref="O110:O113" si="19">SUM(C110:N110)</f>
        <v>0</v>
      </c>
      <c r="P110" s="27">
        <f t="shared" si="18"/>
        <v>0</v>
      </c>
    </row>
    <row r="111" spans="2:16" ht="14.4" x14ac:dyDescent="0.3">
      <c r="B111" s="32" t="s">
        <v>85</v>
      </c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7">
        <f t="shared" si="19"/>
        <v>0</v>
      </c>
      <c r="P111" s="27">
        <f t="shared" si="18"/>
        <v>0</v>
      </c>
    </row>
    <row r="112" spans="2:16" ht="14.4" x14ac:dyDescent="0.3">
      <c r="B112" s="32" t="s">
        <v>86</v>
      </c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7">
        <f t="shared" si="19"/>
        <v>0</v>
      </c>
      <c r="P112" s="27">
        <f t="shared" si="18"/>
        <v>0</v>
      </c>
    </row>
    <row r="113" spans="2:16" ht="14.4" x14ac:dyDescent="0.3">
      <c r="B113" s="32" t="s">
        <v>32</v>
      </c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7">
        <f t="shared" si="19"/>
        <v>0</v>
      </c>
      <c r="P113" s="27">
        <f t="shared" si="18"/>
        <v>0</v>
      </c>
    </row>
    <row r="114" spans="2:16" ht="14.4" x14ac:dyDescent="0.3">
      <c r="B114" s="54" t="str">
        <f>"Total "&amp;Table8[[#Headers],[INSURANCE]]</f>
        <v>Total INSURANCE</v>
      </c>
      <c r="C114" s="53">
        <f>SUBTOTAL(109,Table8[[ Jan ]])</f>
        <v>0</v>
      </c>
      <c r="D114" s="53">
        <f>SUBTOTAL(109,Table8[[ Feb ]])</f>
        <v>0</v>
      </c>
      <c r="E114" s="53">
        <f>SUBTOTAL(109,Table8[[ Mar ]])</f>
        <v>0</v>
      </c>
      <c r="F114" s="53">
        <f>SUBTOTAL(109,Table8[[ Apr ]])</f>
        <v>0</v>
      </c>
      <c r="G114" s="53">
        <f>SUBTOTAL(109,Table8[[ May ]])</f>
        <v>0</v>
      </c>
      <c r="H114" s="53">
        <f>SUBTOTAL(109,Table8[[ Jun ]])</f>
        <v>0</v>
      </c>
      <c r="I114" s="53">
        <f>SUBTOTAL(109,Table8[[ Jul ]])</f>
        <v>0</v>
      </c>
      <c r="J114" s="53">
        <f>SUBTOTAL(109,Table8[[ Aug ]])</f>
        <v>0</v>
      </c>
      <c r="K114" s="53">
        <f>SUBTOTAL(109,Table8[[ Sep ]])</f>
        <v>0</v>
      </c>
      <c r="L114" s="53">
        <f>SUBTOTAL(109,Table8[[ Oct ]])</f>
        <v>0</v>
      </c>
      <c r="M114" s="53">
        <f>SUBTOTAL(109,Table8[[ Nov ]])</f>
        <v>0</v>
      </c>
      <c r="N114" s="53">
        <f>SUBTOTAL(109,Table8[[ Dec ]])</f>
        <v>0</v>
      </c>
      <c r="O114" s="27">
        <f>SUBTOTAL(109,Table8[[ Total ]])</f>
        <v>0</v>
      </c>
      <c r="P114" s="27">
        <f>SUBTOTAL(109,Table8[[ Avg ]])</f>
        <v>0</v>
      </c>
    </row>
    <row r="115" spans="2:16" ht="14.4" x14ac:dyDescent="0.3">
      <c r="B115" s="33" t="s">
        <v>40</v>
      </c>
      <c r="C115" s="34" t="str">
        <f>IFERROR(Table8[[#Totals],[ Jan ]]/C$8,"")</f>
        <v/>
      </c>
      <c r="D115" s="34" t="str">
        <f>IFERROR(Table8[[#Totals],[ Feb ]]/D$8,"")</f>
        <v/>
      </c>
      <c r="E115" s="34" t="str">
        <f>IFERROR(Table8[[#Totals],[ Mar ]]/E$8,"")</f>
        <v/>
      </c>
      <c r="F115" s="34" t="str">
        <f>IFERROR(Table8[[#Totals],[ Apr ]]/F$8,"")</f>
        <v/>
      </c>
      <c r="G115" s="34" t="str">
        <f>IFERROR(Table8[[#Totals],[ May ]]/G$8,"")</f>
        <v/>
      </c>
      <c r="H115" s="34" t="str">
        <f>IFERROR(Table8[[#Totals],[ Jun ]]/H$8,"")</f>
        <v/>
      </c>
      <c r="I115" s="34" t="str">
        <f>IFERROR(Table8[[#Totals],[ Jul ]]/I$8,"")</f>
        <v/>
      </c>
      <c r="J115" s="34" t="str">
        <f>IFERROR(Table8[[#Totals],[ Aug ]]/J$8,"")</f>
        <v/>
      </c>
      <c r="K115" s="34" t="str">
        <f>IFERROR(Table8[[#Totals],[ Sep ]]/K$8,"")</f>
        <v/>
      </c>
      <c r="L115" s="34" t="str">
        <f>IFERROR(Table8[[#Totals],[ Oct ]]/L$8,"")</f>
        <v/>
      </c>
      <c r="M115" s="34" t="str">
        <f>IFERROR(Table8[[#Totals],[ Nov ]]/M$8,"")</f>
        <v/>
      </c>
      <c r="N115" s="34" t="str">
        <f>IFERROR(Table8[[#Totals],[ Dec ]]/N$8,"")</f>
        <v/>
      </c>
      <c r="O115" s="34" t="str">
        <f>IFERROR(Table8[[#Totals],[ Total ]]/O$8,"")</f>
        <v/>
      </c>
      <c r="P115" s="34" t="str">
        <f>IFERROR(Table8[[#Totals],[ Avg ]]/P$8,"")</f>
        <v/>
      </c>
    </row>
    <row r="116" spans="2:16" ht="14.4" x14ac:dyDescent="0.3">
      <c r="B116" s="28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</row>
    <row r="117" spans="2:16" ht="14.4" x14ac:dyDescent="0.3">
      <c r="B117" s="30" t="s">
        <v>87</v>
      </c>
      <c r="C117" s="31" t="s">
        <v>134</v>
      </c>
      <c r="D117" s="31" t="s">
        <v>135</v>
      </c>
      <c r="E117" s="31" t="s">
        <v>136</v>
      </c>
      <c r="F117" s="31" t="s">
        <v>137</v>
      </c>
      <c r="G117" s="31" t="s">
        <v>138</v>
      </c>
      <c r="H117" s="31" t="s">
        <v>139</v>
      </c>
      <c r="I117" s="31" t="s">
        <v>140</v>
      </c>
      <c r="J117" s="31" t="s">
        <v>141</v>
      </c>
      <c r="K117" s="31" t="s">
        <v>142</v>
      </c>
      <c r="L117" s="31" t="s">
        <v>143</v>
      </c>
      <c r="M117" s="31" t="s">
        <v>144</v>
      </c>
      <c r="N117" s="31" t="s">
        <v>145</v>
      </c>
      <c r="O117" s="31" t="s">
        <v>25</v>
      </c>
      <c r="P117" s="31" t="s">
        <v>26</v>
      </c>
    </row>
    <row r="118" spans="2:16" ht="14.4" x14ac:dyDescent="0.3">
      <c r="B118" s="32" t="s">
        <v>88</v>
      </c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7">
        <f>SUM(C118:N118)</f>
        <v>0</v>
      </c>
      <c r="P118" s="27">
        <f>O118/COLUMNS(C118:N118)</f>
        <v>0</v>
      </c>
    </row>
    <row r="119" spans="2:16" ht="14.4" x14ac:dyDescent="0.3">
      <c r="B119" s="32" t="s">
        <v>89</v>
      </c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7">
        <f t="shared" ref="O119:O121" si="20">SUM(C119:N119)</f>
        <v>0</v>
      </c>
      <c r="P119" s="27">
        <f t="shared" ref="P119:P121" si="21">O119/COLUMNS(C119:N119)</f>
        <v>0</v>
      </c>
    </row>
    <row r="120" spans="2:16" ht="14.4" x14ac:dyDescent="0.3">
      <c r="B120" s="32" t="s">
        <v>90</v>
      </c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7">
        <f t="shared" si="20"/>
        <v>0</v>
      </c>
      <c r="P120" s="27">
        <f t="shared" si="21"/>
        <v>0</v>
      </c>
    </row>
    <row r="121" spans="2:16" ht="14.4" x14ac:dyDescent="0.3">
      <c r="B121" s="32" t="s">
        <v>32</v>
      </c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7">
        <f t="shared" si="20"/>
        <v>0</v>
      </c>
      <c r="P121" s="27">
        <f t="shared" si="21"/>
        <v>0</v>
      </c>
    </row>
    <row r="122" spans="2:16" ht="14.4" x14ac:dyDescent="0.3">
      <c r="B122" s="54" t="str">
        <f>"Total "&amp;Table9[[#Headers],[EDUCATION]]</f>
        <v>Total EDUCATION</v>
      </c>
      <c r="C122" s="53">
        <f>SUBTOTAL(109,Table9[[ Jan ]])</f>
        <v>0</v>
      </c>
      <c r="D122" s="53">
        <f>SUBTOTAL(109,Table9[[ Feb ]])</f>
        <v>0</v>
      </c>
      <c r="E122" s="53">
        <f>SUBTOTAL(109,Table9[[ Mar ]])</f>
        <v>0</v>
      </c>
      <c r="F122" s="53">
        <f>SUBTOTAL(109,Table9[[ Apr ]])</f>
        <v>0</v>
      </c>
      <c r="G122" s="53">
        <f>SUBTOTAL(109,Table9[[ May ]])</f>
        <v>0</v>
      </c>
      <c r="H122" s="53">
        <f>SUBTOTAL(109,Table9[[ Jun ]])</f>
        <v>0</v>
      </c>
      <c r="I122" s="53">
        <f>SUBTOTAL(109,Table9[[ Jul ]])</f>
        <v>0</v>
      </c>
      <c r="J122" s="53">
        <f>SUBTOTAL(109,Table9[[ Aug ]])</f>
        <v>0</v>
      </c>
      <c r="K122" s="53">
        <f>SUBTOTAL(109,Table9[[ Sep ]])</f>
        <v>0</v>
      </c>
      <c r="L122" s="53">
        <f>SUBTOTAL(109,Table9[[ Oct ]])</f>
        <v>0</v>
      </c>
      <c r="M122" s="53">
        <f>SUBTOTAL(109,Table9[[ Nov ]])</f>
        <v>0</v>
      </c>
      <c r="N122" s="53">
        <f>SUBTOTAL(109,Table9[[ Dec ]])</f>
        <v>0</v>
      </c>
      <c r="O122" s="27">
        <f>SUBTOTAL(109,Table9[[ Total ]])</f>
        <v>0</v>
      </c>
      <c r="P122" s="27">
        <f>SUBTOTAL(109,Table9[[ Avg ]])</f>
        <v>0</v>
      </c>
    </row>
    <row r="123" spans="2:16" ht="14.4" x14ac:dyDescent="0.3">
      <c r="B123" s="33" t="s">
        <v>40</v>
      </c>
      <c r="C123" s="34" t="str">
        <f>IFERROR(Table9[[#Totals],[ Jan ]]/C$8, "")</f>
        <v/>
      </c>
      <c r="D123" s="34" t="str">
        <f>IFERROR(Table9[[#Totals],[ Feb ]]/D$8, "")</f>
        <v/>
      </c>
      <c r="E123" s="34" t="str">
        <f>IFERROR(Table9[[#Totals],[ Mar ]]/E$8, "")</f>
        <v/>
      </c>
      <c r="F123" s="34" t="str">
        <f>IFERROR(Table9[[#Totals],[ Apr ]]/F$8, "")</f>
        <v/>
      </c>
      <c r="G123" s="34" t="str">
        <f>IFERROR(Table9[[#Totals],[ May ]]/G$8, "")</f>
        <v/>
      </c>
      <c r="H123" s="34" t="str">
        <f>IFERROR(Table9[[#Totals],[ Jun ]]/H$8, "")</f>
        <v/>
      </c>
      <c r="I123" s="34" t="str">
        <f>IFERROR(Table9[[#Totals],[ Jul ]]/I$8, "")</f>
        <v/>
      </c>
      <c r="J123" s="34" t="str">
        <f>IFERROR(Table9[[#Totals],[ Aug ]]/J$8, "")</f>
        <v/>
      </c>
      <c r="K123" s="34" t="str">
        <f>IFERROR(Table9[[#Totals],[ Sep ]]/K$8, "")</f>
        <v/>
      </c>
      <c r="L123" s="34" t="str">
        <f>IFERROR(Table9[[#Totals],[ Oct ]]/L$8, "")</f>
        <v/>
      </c>
      <c r="M123" s="34" t="str">
        <f>IFERROR(Table9[[#Totals],[ Nov ]]/M$8, "")</f>
        <v/>
      </c>
      <c r="N123" s="34" t="str">
        <f>IFERROR(Table9[[#Totals],[ Dec ]]/N$8, "")</f>
        <v/>
      </c>
      <c r="O123" s="34" t="str">
        <f>IFERROR(Table9[[#Totals],[ Total ]]/O$8, "")</f>
        <v/>
      </c>
      <c r="P123" s="34" t="str">
        <f>IFERROR(Table9[[#Totals],[ Avg ]]/P$8, "")</f>
        <v/>
      </c>
    </row>
    <row r="124" spans="2:16" ht="14.4" x14ac:dyDescent="0.3">
      <c r="B124" s="28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</row>
    <row r="125" spans="2:16" ht="14.4" x14ac:dyDescent="0.3">
      <c r="B125" s="30" t="s">
        <v>91</v>
      </c>
      <c r="C125" s="31" t="s">
        <v>134</v>
      </c>
      <c r="D125" s="31" t="s">
        <v>135</v>
      </c>
      <c r="E125" s="31" t="s">
        <v>136</v>
      </c>
      <c r="F125" s="31" t="s">
        <v>137</v>
      </c>
      <c r="G125" s="31" t="s">
        <v>138</v>
      </c>
      <c r="H125" s="31" t="s">
        <v>139</v>
      </c>
      <c r="I125" s="31" t="s">
        <v>140</v>
      </c>
      <c r="J125" s="31" t="s">
        <v>141</v>
      </c>
      <c r="K125" s="31" t="s">
        <v>142</v>
      </c>
      <c r="L125" s="31" t="s">
        <v>143</v>
      </c>
      <c r="M125" s="31" t="s">
        <v>144</v>
      </c>
      <c r="N125" s="31" t="s">
        <v>145</v>
      </c>
      <c r="O125" s="31" t="s">
        <v>25</v>
      </c>
      <c r="P125" s="31" t="s">
        <v>26</v>
      </c>
    </row>
    <row r="126" spans="2:16" ht="14.4" x14ac:dyDescent="0.3">
      <c r="B126" s="32" t="s">
        <v>92</v>
      </c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7">
        <f>SUM(C126:N126)</f>
        <v>0</v>
      </c>
      <c r="P126" s="27">
        <f>O126/COLUMNS(C126:N126)</f>
        <v>0</v>
      </c>
    </row>
    <row r="127" spans="2:16" ht="14.4" x14ac:dyDescent="0.3">
      <c r="B127" s="32" t="s">
        <v>93</v>
      </c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7">
        <f t="shared" ref="O127:O129" si="22">SUM(C127:N127)</f>
        <v>0</v>
      </c>
      <c r="P127" s="27">
        <f t="shared" ref="P127:P129" si="23">O127/COLUMNS(C127:N127)</f>
        <v>0</v>
      </c>
    </row>
    <row r="128" spans="2:16" ht="14.4" x14ac:dyDescent="0.3">
      <c r="B128" s="32" t="s">
        <v>94</v>
      </c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7">
        <f t="shared" si="22"/>
        <v>0</v>
      </c>
      <c r="P128" s="27">
        <f t="shared" si="23"/>
        <v>0</v>
      </c>
    </row>
    <row r="129" spans="2:16" ht="14.4" x14ac:dyDescent="0.3">
      <c r="B129" s="32" t="s">
        <v>32</v>
      </c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7">
        <f t="shared" si="22"/>
        <v>0</v>
      </c>
      <c r="P129" s="27">
        <f t="shared" si="23"/>
        <v>0</v>
      </c>
    </row>
    <row r="130" spans="2:16" ht="14.4" x14ac:dyDescent="0.3">
      <c r="B130" s="54" t="str">
        <f>"Total "&amp;Table10[[#Headers],[CHARITY/GIFTS]]</f>
        <v>Total CHARITY/GIFTS</v>
      </c>
      <c r="C130" s="53">
        <f>SUBTOTAL(109,Table10[[ Jan ]])</f>
        <v>0</v>
      </c>
      <c r="D130" s="53">
        <f>SUBTOTAL(109,Table10[[ Feb ]])</f>
        <v>0</v>
      </c>
      <c r="E130" s="53">
        <f>SUBTOTAL(109,Table10[[ Mar ]])</f>
        <v>0</v>
      </c>
      <c r="F130" s="53">
        <f>SUBTOTAL(109,Table10[[ Apr ]])</f>
        <v>0</v>
      </c>
      <c r="G130" s="53">
        <f>SUBTOTAL(109,Table10[[ May ]])</f>
        <v>0</v>
      </c>
      <c r="H130" s="53">
        <f>SUBTOTAL(109,Table10[[ Jun ]])</f>
        <v>0</v>
      </c>
      <c r="I130" s="53">
        <f>SUBTOTAL(109,Table10[[ Jul ]])</f>
        <v>0</v>
      </c>
      <c r="J130" s="53">
        <f>SUBTOTAL(109,Table10[[ Aug ]])</f>
        <v>0</v>
      </c>
      <c r="K130" s="53">
        <f>SUBTOTAL(109,Table10[[ Sep ]])</f>
        <v>0</v>
      </c>
      <c r="L130" s="53">
        <f>SUBTOTAL(109,Table10[[ Oct ]])</f>
        <v>0</v>
      </c>
      <c r="M130" s="53">
        <f>SUBTOTAL(109,Table10[[ Nov ]])</f>
        <v>0</v>
      </c>
      <c r="N130" s="53">
        <f>SUBTOTAL(109,Table10[[ Dec ]])</f>
        <v>0</v>
      </c>
      <c r="O130" s="27">
        <f>SUBTOTAL(109,Table10[[ Total ]])</f>
        <v>0</v>
      </c>
      <c r="P130" s="27">
        <f>SUBTOTAL(109,Table10[[ Avg ]])</f>
        <v>0</v>
      </c>
    </row>
    <row r="131" spans="2:16" ht="14.4" x14ac:dyDescent="0.3">
      <c r="B131" s="33" t="s">
        <v>40</v>
      </c>
      <c r="C131" s="34" t="str">
        <f>IFERROR(Table10[[#Totals],[ Jan ]]/C$8,"")</f>
        <v/>
      </c>
      <c r="D131" s="34" t="str">
        <f>IFERROR(Table10[[#Totals],[ Feb ]]/D$8,"")</f>
        <v/>
      </c>
      <c r="E131" s="34" t="str">
        <f>IFERROR(Table10[[#Totals],[ Mar ]]/E$8,"")</f>
        <v/>
      </c>
      <c r="F131" s="34" t="str">
        <f>IFERROR(Table10[[#Totals],[ Apr ]]/F$8,"")</f>
        <v/>
      </c>
      <c r="G131" s="34" t="str">
        <f>IFERROR(Table10[[#Totals],[ May ]]/G$8,"")</f>
        <v/>
      </c>
      <c r="H131" s="34" t="str">
        <f>IFERROR(Table10[[#Totals],[ Jun ]]/H$8,"")</f>
        <v/>
      </c>
      <c r="I131" s="34" t="str">
        <f>IFERROR(Table10[[#Totals],[ Jul ]]/I$8,"")</f>
        <v/>
      </c>
      <c r="J131" s="34" t="str">
        <f>IFERROR(Table10[[#Totals],[ Aug ]]/J$8,"")</f>
        <v/>
      </c>
      <c r="K131" s="34" t="str">
        <f>IFERROR(Table10[[#Totals],[ Sep ]]/K$8,"")</f>
        <v/>
      </c>
      <c r="L131" s="34" t="str">
        <f>IFERROR(Table10[[#Totals],[ Oct ]]/L$8,"")</f>
        <v/>
      </c>
      <c r="M131" s="34" t="str">
        <f>IFERROR(Table10[[#Totals],[ Nov ]]/M$8,"")</f>
        <v/>
      </c>
      <c r="N131" s="34" t="str">
        <f>IFERROR(Table10[[#Totals],[ Dec ]]/N$8,"")</f>
        <v/>
      </c>
      <c r="O131" s="34" t="str">
        <f>IFERROR(Table10[[#Totals],[ Total ]]/O$8,"")</f>
        <v/>
      </c>
      <c r="P131" s="34" t="str">
        <f>IFERROR(Table10[[#Totals],[ Avg ]]/P$8,"")</f>
        <v/>
      </c>
    </row>
    <row r="132" spans="2:16" ht="14.4" x14ac:dyDescent="0.3">
      <c r="B132" s="28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</row>
    <row r="133" spans="2:16" ht="14.4" x14ac:dyDescent="0.3">
      <c r="B133" s="30" t="s">
        <v>95</v>
      </c>
      <c r="C133" s="31" t="s">
        <v>134</v>
      </c>
      <c r="D133" s="31" t="s">
        <v>135</v>
      </c>
      <c r="E133" s="31" t="s">
        <v>136</v>
      </c>
      <c r="F133" s="31" t="s">
        <v>137</v>
      </c>
      <c r="G133" s="31" t="s">
        <v>138</v>
      </c>
      <c r="H133" s="31" t="s">
        <v>139</v>
      </c>
      <c r="I133" s="31" t="s">
        <v>140</v>
      </c>
      <c r="J133" s="31" t="s">
        <v>141</v>
      </c>
      <c r="K133" s="31" t="s">
        <v>142</v>
      </c>
      <c r="L133" s="31" t="s">
        <v>143</v>
      </c>
      <c r="M133" s="31" t="s">
        <v>144</v>
      </c>
      <c r="N133" s="31" t="s">
        <v>145</v>
      </c>
      <c r="O133" s="31" t="s">
        <v>25</v>
      </c>
      <c r="P133" s="31" t="s">
        <v>26</v>
      </c>
    </row>
    <row r="134" spans="2:16" ht="14.4" x14ac:dyDescent="0.3">
      <c r="B134" s="36" t="s">
        <v>96</v>
      </c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7">
        <f>SUM(C134:N134)</f>
        <v>0</v>
      </c>
      <c r="P134" s="27">
        <f t="shared" ref="P134:P141" si="24">O134/COLUMNS(C134:N134)</f>
        <v>0</v>
      </c>
    </row>
    <row r="135" spans="2:16" ht="14.4" x14ac:dyDescent="0.3">
      <c r="B135" s="32" t="s">
        <v>97</v>
      </c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7">
        <f t="shared" ref="O135:O141" si="25">SUM(C135:N135)</f>
        <v>0</v>
      </c>
      <c r="P135" s="27">
        <f t="shared" si="24"/>
        <v>0</v>
      </c>
    </row>
    <row r="136" spans="2:16" ht="14.4" x14ac:dyDescent="0.3">
      <c r="B136" s="32" t="s">
        <v>98</v>
      </c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7">
        <f t="shared" si="25"/>
        <v>0</v>
      </c>
      <c r="P136" s="27">
        <f t="shared" si="24"/>
        <v>0</v>
      </c>
    </row>
    <row r="137" spans="2:16" ht="14.4" x14ac:dyDescent="0.3">
      <c r="B137" s="32" t="s">
        <v>99</v>
      </c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7">
        <f t="shared" si="25"/>
        <v>0</v>
      </c>
      <c r="P137" s="27">
        <f t="shared" si="24"/>
        <v>0</v>
      </c>
    </row>
    <row r="138" spans="2:16" ht="14.4" x14ac:dyDescent="0.3">
      <c r="B138" s="32" t="s">
        <v>100</v>
      </c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7">
        <f t="shared" si="25"/>
        <v>0</v>
      </c>
      <c r="P138" s="27">
        <f t="shared" si="24"/>
        <v>0</v>
      </c>
    </row>
    <row r="139" spans="2:16" ht="14.4" x14ac:dyDescent="0.3">
      <c r="B139" s="32" t="s">
        <v>101</v>
      </c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7">
        <f t="shared" si="25"/>
        <v>0</v>
      </c>
      <c r="P139" s="27">
        <f t="shared" si="24"/>
        <v>0</v>
      </c>
    </row>
    <row r="140" spans="2:16" ht="14.4" x14ac:dyDescent="0.3">
      <c r="B140" s="32" t="s">
        <v>102</v>
      </c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7">
        <f t="shared" si="25"/>
        <v>0</v>
      </c>
      <c r="P140" s="27">
        <f t="shared" si="24"/>
        <v>0</v>
      </c>
    </row>
    <row r="141" spans="2:16" ht="14.4" x14ac:dyDescent="0.3">
      <c r="B141" s="32" t="s">
        <v>32</v>
      </c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7">
        <f t="shared" si="25"/>
        <v>0</v>
      </c>
      <c r="P141" s="27">
        <f t="shared" si="24"/>
        <v>0</v>
      </c>
    </row>
    <row r="142" spans="2:16" ht="14.4" x14ac:dyDescent="0.3">
      <c r="B142" s="54" t="str">
        <f>"Total "&amp;Table11[[#Headers],[OBLIGATIONS]]</f>
        <v>Total OBLIGATIONS</v>
      </c>
      <c r="C142" s="53">
        <f>SUBTOTAL(109,Table11[[ Jan ]])</f>
        <v>0</v>
      </c>
      <c r="D142" s="53">
        <f>SUBTOTAL(109,Table11[[ Feb ]])</f>
        <v>0</v>
      </c>
      <c r="E142" s="53">
        <f>SUBTOTAL(109,Table11[[ Mar ]])</f>
        <v>0</v>
      </c>
      <c r="F142" s="53">
        <f>SUBTOTAL(109,Table11[[ Apr ]])</f>
        <v>0</v>
      </c>
      <c r="G142" s="53">
        <f>SUBTOTAL(109,Table11[[ May ]])</f>
        <v>0</v>
      </c>
      <c r="H142" s="53">
        <f>SUBTOTAL(109,Table11[[ Jun ]])</f>
        <v>0</v>
      </c>
      <c r="I142" s="53">
        <f>SUBTOTAL(109,Table11[[ Jul ]])</f>
        <v>0</v>
      </c>
      <c r="J142" s="53">
        <f>SUBTOTAL(109,Table11[[ Aug ]])</f>
        <v>0</v>
      </c>
      <c r="K142" s="53">
        <f>SUBTOTAL(109,Table11[[ Sep ]])</f>
        <v>0</v>
      </c>
      <c r="L142" s="53">
        <f>SUBTOTAL(109,Table11[[ Oct ]])</f>
        <v>0</v>
      </c>
      <c r="M142" s="53">
        <f>SUBTOTAL(109,Table11[[ Nov ]])</f>
        <v>0</v>
      </c>
      <c r="N142" s="53">
        <f>SUBTOTAL(109,Table11[[ Dec ]])</f>
        <v>0</v>
      </c>
      <c r="O142" s="27">
        <f>SUBTOTAL(109,Table11[[ Total ]])</f>
        <v>0</v>
      </c>
      <c r="P142" s="27">
        <f>SUBTOTAL(109,Table11[[ Avg ]])</f>
        <v>0</v>
      </c>
    </row>
    <row r="143" spans="2:16" ht="14.4" x14ac:dyDescent="0.3">
      <c r="B143" s="33" t="s">
        <v>40</v>
      </c>
      <c r="C143" s="34" t="str">
        <f>IFERROR(Table11[[#Totals],[ Jan ]]/C$8,"")</f>
        <v/>
      </c>
      <c r="D143" s="34" t="str">
        <f>IFERROR(Table11[[#Totals],[ Feb ]]/D$8,"")</f>
        <v/>
      </c>
      <c r="E143" s="34" t="str">
        <f>IFERROR(Table11[[#Totals],[ Mar ]]/E$8,"")</f>
        <v/>
      </c>
      <c r="F143" s="34" t="str">
        <f>IFERROR(Table11[[#Totals],[ Apr ]]/F$8,"")</f>
        <v/>
      </c>
      <c r="G143" s="34" t="str">
        <f>IFERROR(Table11[[#Totals],[ May ]]/G$8,"")</f>
        <v/>
      </c>
      <c r="H143" s="34" t="str">
        <f>IFERROR(Table11[[#Totals],[ Jun ]]/H$8,"")</f>
        <v/>
      </c>
      <c r="I143" s="34" t="str">
        <f>IFERROR(Table11[[#Totals],[ Jul ]]/I$8,"")</f>
        <v/>
      </c>
      <c r="J143" s="34" t="str">
        <f>IFERROR(Table11[[#Totals],[ Aug ]]/J$8,"")</f>
        <v/>
      </c>
      <c r="K143" s="34" t="str">
        <f>IFERROR(Table11[[#Totals],[ Sep ]]/K$8,"")</f>
        <v/>
      </c>
      <c r="L143" s="34" t="str">
        <f>IFERROR(Table11[[#Totals],[ Oct ]]/L$8,"")</f>
        <v/>
      </c>
      <c r="M143" s="34" t="str">
        <f>IFERROR(Table11[[#Totals],[ Nov ]]/M$8,"")</f>
        <v/>
      </c>
      <c r="N143" s="34" t="str">
        <f>IFERROR(Table11[[#Totals],[ Dec ]]/N$8,"")</f>
        <v/>
      </c>
      <c r="O143" s="34" t="str">
        <f>IFERROR(Table11[[#Totals],[ Total ]]/O$8,"")</f>
        <v/>
      </c>
      <c r="P143" s="34" t="str">
        <f>IFERROR(Table11[[#Totals],[ Avg ]]/P$8,"")</f>
        <v/>
      </c>
    </row>
    <row r="144" spans="2:16" ht="14.4" x14ac:dyDescent="0.3">
      <c r="B144" s="28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</row>
    <row r="145" spans="2:16" ht="14.4" x14ac:dyDescent="0.3">
      <c r="B145" s="30" t="s">
        <v>103</v>
      </c>
      <c r="C145" s="31" t="s">
        <v>134</v>
      </c>
      <c r="D145" s="31" t="s">
        <v>135</v>
      </c>
      <c r="E145" s="31" t="s">
        <v>136</v>
      </c>
      <c r="F145" s="31" t="s">
        <v>137</v>
      </c>
      <c r="G145" s="31" t="s">
        <v>138</v>
      </c>
      <c r="H145" s="31" t="s">
        <v>139</v>
      </c>
      <c r="I145" s="31" t="s">
        <v>140</v>
      </c>
      <c r="J145" s="31" t="s">
        <v>141</v>
      </c>
      <c r="K145" s="31" t="s">
        <v>142</v>
      </c>
      <c r="L145" s="31" t="s">
        <v>143</v>
      </c>
      <c r="M145" s="31" t="s">
        <v>144</v>
      </c>
      <c r="N145" s="31" t="s">
        <v>145</v>
      </c>
      <c r="O145" s="31" t="s">
        <v>25</v>
      </c>
      <c r="P145" s="31" t="s">
        <v>26</v>
      </c>
    </row>
    <row r="146" spans="2:16" ht="14.4" x14ac:dyDescent="0.3">
      <c r="B146" s="32" t="s">
        <v>104</v>
      </c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7">
        <f>SUM(C146:N146)</f>
        <v>0</v>
      </c>
      <c r="P146" s="27">
        <f>O146/COLUMNS(C146:N146)</f>
        <v>0</v>
      </c>
    </row>
    <row r="147" spans="2:16" ht="14.4" x14ac:dyDescent="0.3">
      <c r="B147" s="32" t="s">
        <v>105</v>
      </c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7">
        <f t="shared" ref="O147:O149" si="26">SUM(C147:N147)</f>
        <v>0</v>
      </c>
      <c r="P147" s="27">
        <f t="shared" ref="P147:P149" si="27">O147/COLUMNS(C147:N147)</f>
        <v>0</v>
      </c>
    </row>
    <row r="148" spans="2:16" ht="14.4" x14ac:dyDescent="0.3">
      <c r="B148" s="32" t="s">
        <v>32</v>
      </c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7">
        <f t="shared" si="26"/>
        <v>0</v>
      </c>
      <c r="P148" s="27">
        <f t="shared" si="27"/>
        <v>0</v>
      </c>
    </row>
    <row r="149" spans="2:16" ht="14.4" x14ac:dyDescent="0.3">
      <c r="B149" s="32" t="s">
        <v>32</v>
      </c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7">
        <f t="shared" si="26"/>
        <v>0</v>
      </c>
      <c r="P149" s="27">
        <f t="shared" si="27"/>
        <v>0</v>
      </c>
    </row>
    <row r="150" spans="2:16" ht="14.4" x14ac:dyDescent="0.3">
      <c r="B150" s="54" t="str">
        <f>"Total "&amp;Table12[[#Headers],[BUSINESS EXPENSE]]</f>
        <v>Total BUSINESS EXPENSE</v>
      </c>
      <c r="C150" s="53">
        <f>SUBTOTAL(109,Table12[[ Jan ]])</f>
        <v>0</v>
      </c>
      <c r="D150" s="53">
        <f>SUBTOTAL(109,Table12[[ Feb ]])</f>
        <v>0</v>
      </c>
      <c r="E150" s="53">
        <f>SUBTOTAL(109,Table12[[ Mar ]])</f>
        <v>0</v>
      </c>
      <c r="F150" s="53">
        <f>SUBTOTAL(109,Table12[[ Apr ]])</f>
        <v>0</v>
      </c>
      <c r="G150" s="53">
        <f>SUBTOTAL(109,Table12[[ May ]])</f>
        <v>0</v>
      </c>
      <c r="H150" s="53">
        <f>SUBTOTAL(109,Table12[[ Jun ]])</f>
        <v>0</v>
      </c>
      <c r="I150" s="53">
        <f>SUBTOTAL(109,Table12[[ Jul ]])</f>
        <v>0</v>
      </c>
      <c r="J150" s="53">
        <f>SUBTOTAL(109,Table12[[ Aug ]])</f>
        <v>0</v>
      </c>
      <c r="K150" s="53">
        <f>SUBTOTAL(109,Table12[[ Sep ]])</f>
        <v>0</v>
      </c>
      <c r="L150" s="53">
        <f>SUBTOTAL(109,Table12[[ Oct ]])</f>
        <v>0</v>
      </c>
      <c r="M150" s="53">
        <f>SUBTOTAL(109,Table12[[ Nov ]])</f>
        <v>0</v>
      </c>
      <c r="N150" s="53">
        <f>SUBTOTAL(109,Table12[[ Dec ]])</f>
        <v>0</v>
      </c>
      <c r="O150" s="27">
        <f>SUBTOTAL(109,Table12[[ Total ]])</f>
        <v>0</v>
      </c>
      <c r="P150" s="27">
        <f>SUBTOTAL(109,Table12[[ Avg ]])</f>
        <v>0</v>
      </c>
    </row>
    <row r="151" spans="2:16" ht="14.4" x14ac:dyDescent="0.3">
      <c r="B151" s="37" t="s">
        <v>40</v>
      </c>
      <c r="C151" s="34" t="str">
        <f>IFERROR(Table12[[#Totals],[ Jan ]]/C$8, "")</f>
        <v/>
      </c>
      <c r="D151" s="34" t="str">
        <f>IFERROR(Table12[[#Totals],[ Feb ]]/D$8, "")</f>
        <v/>
      </c>
      <c r="E151" s="34" t="str">
        <f>IFERROR(Table12[[#Totals],[ Mar ]]/E$8, "")</f>
        <v/>
      </c>
      <c r="F151" s="34" t="str">
        <f>IFERROR(Table12[[#Totals],[ Apr ]]/F$8, "")</f>
        <v/>
      </c>
      <c r="G151" s="34" t="str">
        <f>IFERROR(Table12[[#Totals],[ May ]]/G$8, "")</f>
        <v/>
      </c>
      <c r="H151" s="34" t="str">
        <f>IFERROR(Table12[[#Totals],[ Jun ]]/H$8, "")</f>
        <v/>
      </c>
      <c r="I151" s="34" t="str">
        <f>IFERROR(Table12[[#Totals],[ Jul ]]/I$8, "")</f>
        <v/>
      </c>
      <c r="J151" s="34" t="str">
        <f>IFERROR(Table12[[#Totals],[ Aug ]]/J$8, "")</f>
        <v/>
      </c>
      <c r="K151" s="34" t="str">
        <f>IFERROR(Table12[[#Totals],[ Sep ]]/K$8, "")</f>
        <v/>
      </c>
      <c r="L151" s="34" t="str">
        <f>IFERROR(Table12[[#Totals],[ Oct ]]/L$8, "")</f>
        <v/>
      </c>
      <c r="M151" s="34" t="str">
        <f>IFERROR(Table12[[#Totals],[ Nov ]]/M$8, "")</f>
        <v/>
      </c>
      <c r="N151" s="34" t="str">
        <f>IFERROR(Table12[[#Totals],[ Dec ]]/N$8, "")</f>
        <v/>
      </c>
      <c r="O151" s="34" t="str">
        <f>IFERROR(Table12[[#Totals],[ Total ]]/O$8, "")</f>
        <v/>
      </c>
      <c r="P151" s="34" t="str">
        <f>IFERROR(Table12[[#Totals],[ Avg ]]/P$8, "")</f>
        <v/>
      </c>
    </row>
    <row r="152" spans="2:16" ht="14.4" x14ac:dyDescent="0.3">
      <c r="B152" s="28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</row>
    <row r="153" spans="2:16" ht="14.4" x14ac:dyDescent="0.3">
      <c r="B153" s="30" t="s">
        <v>106</v>
      </c>
      <c r="C153" s="31" t="s">
        <v>134</v>
      </c>
      <c r="D153" s="31" t="s">
        <v>135</v>
      </c>
      <c r="E153" s="31" t="s">
        <v>136</v>
      </c>
      <c r="F153" s="31" t="s">
        <v>137</v>
      </c>
      <c r="G153" s="31" t="s">
        <v>138</v>
      </c>
      <c r="H153" s="31" t="s">
        <v>139</v>
      </c>
      <c r="I153" s="31" t="s">
        <v>140</v>
      </c>
      <c r="J153" s="31" t="s">
        <v>141</v>
      </c>
      <c r="K153" s="31" t="s">
        <v>142</v>
      </c>
      <c r="L153" s="31" t="s">
        <v>143</v>
      </c>
      <c r="M153" s="31" t="s">
        <v>144</v>
      </c>
      <c r="N153" s="31" t="s">
        <v>145</v>
      </c>
      <c r="O153" s="31" t="s">
        <v>25</v>
      </c>
      <c r="P153" s="31" t="s">
        <v>26</v>
      </c>
    </row>
    <row r="154" spans="2:16" ht="14.4" x14ac:dyDescent="0.3">
      <c r="B154" s="32" t="s">
        <v>107</v>
      </c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7">
        <f>SUM(C154:N154)</f>
        <v>0</v>
      </c>
      <c r="P154" s="27">
        <f t="shared" ref="P154:P164" si="28">O154/COLUMNS(C154:N154)</f>
        <v>0</v>
      </c>
    </row>
    <row r="155" spans="2:16" ht="14.4" x14ac:dyDescent="0.3">
      <c r="B155" s="32" t="s">
        <v>89</v>
      </c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7">
        <f t="shared" ref="O155:O164" si="29">SUM(C155:N155)</f>
        <v>0</v>
      </c>
      <c r="P155" s="27">
        <f t="shared" si="28"/>
        <v>0</v>
      </c>
    </row>
    <row r="156" spans="2:16" ht="14.4" x14ac:dyDescent="0.3">
      <c r="B156" s="32" t="s">
        <v>108</v>
      </c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7">
        <f t="shared" si="29"/>
        <v>0</v>
      </c>
      <c r="P156" s="27">
        <f t="shared" si="28"/>
        <v>0</v>
      </c>
    </row>
    <row r="157" spans="2:16" ht="14.4" x14ac:dyDescent="0.3">
      <c r="B157" s="32" t="s">
        <v>109</v>
      </c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7">
        <f t="shared" si="29"/>
        <v>0</v>
      </c>
      <c r="P157" s="27">
        <f t="shared" si="28"/>
        <v>0</v>
      </c>
    </row>
    <row r="158" spans="2:16" ht="14.4" x14ac:dyDescent="0.3">
      <c r="B158" s="32" t="s">
        <v>110</v>
      </c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7">
        <f t="shared" si="29"/>
        <v>0</v>
      </c>
      <c r="P158" s="27">
        <f t="shared" si="28"/>
        <v>0</v>
      </c>
    </row>
    <row r="159" spans="2:16" ht="14.4" x14ac:dyDescent="0.3">
      <c r="B159" s="32" t="s">
        <v>111</v>
      </c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7">
        <f t="shared" si="29"/>
        <v>0</v>
      </c>
      <c r="P159" s="27">
        <f t="shared" si="28"/>
        <v>0</v>
      </c>
    </row>
    <row r="160" spans="2:16" ht="14.4" x14ac:dyDescent="0.3">
      <c r="B160" s="32" t="s">
        <v>112</v>
      </c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7">
        <f t="shared" si="29"/>
        <v>0</v>
      </c>
      <c r="P160" s="27">
        <f t="shared" si="28"/>
        <v>0</v>
      </c>
    </row>
    <row r="161" spans="2:16" ht="14.4" x14ac:dyDescent="0.3">
      <c r="B161" s="32" t="s">
        <v>113</v>
      </c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7">
        <f t="shared" si="29"/>
        <v>0</v>
      </c>
      <c r="P161" s="27">
        <f t="shared" si="28"/>
        <v>0</v>
      </c>
    </row>
    <row r="162" spans="2:16" ht="14.4" x14ac:dyDescent="0.3">
      <c r="B162" s="32" t="s">
        <v>114</v>
      </c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7">
        <f t="shared" si="29"/>
        <v>0</v>
      </c>
      <c r="P162" s="27">
        <f t="shared" si="28"/>
        <v>0</v>
      </c>
    </row>
    <row r="163" spans="2:16" ht="14.4" x14ac:dyDescent="0.3">
      <c r="B163" s="32" t="s">
        <v>115</v>
      </c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7">
        <f t="shared" si="29"/>
        <v>0</v>
      </c>
      <c r="P163" s="27">
        <f t="shared" si="28"/>
        <v>0</v>
      </c>
    </row>
    <row r="164" spans="2:16" ht="14.4" x14ac:dyDescent="0.3">
      <c r="B164" s="32" t="s">
        <v>32</v>
      </c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7">
        <f t="shared" si="29"/>
        <v>0</v>
      </c>
      <c r="P164" s="27">
        <f t="shared" si="28"/>
        <v>0</v>
      </c>
    </row>
    <row r="165" spans="2:16" ht="14.4" x14ac:dyDescent="0.3">
      <c r="B165" s="54" t="str">
        <f>"Total "&amp;Table13[[#Headers],[ENTERTAINMENT]]</f>
        <v>Total ENTERTAINMENT</v>
      </c>
      <c r="C165" s="53">
        <f>SUBTOTAL(109,Table13[[ Jan ]])</f>
        <v>0</v>
      </c>
      <c r="D165" s="53">
        <f>SUBTOTAL(109,Table13[[ Feb ]])</f>
        <v>0</v>
      </c>
      <c r="E165" s="53">
        <f>SUBTOTAL(109,Table13[[ Mar ]])</f>
        <v>0</v>
      </c>
      <c r="F165" s="53">
        <f>SUBTOTAL(109,Table13[[ Apr ]])</f>
        <v>0</v>
      </c>
      <c r="G165" s="53">
        <f>SUBTOTAL(109,Table13[[ May ]])</f>
        <v>0</v>
      </c>
      <c r="H165" s="53">
        <f>SUBTOTAL(109,Table13[[ Jun ]])</f>
        <v>0</v>
      </c>
      <c r="I165" s="53">
        <f>SUBTOTAL(109,Table13[[ Jul ]])</f>
        <v>0</v>
      </c>
      <c r="J165" s="53">
        <f>SUBTOTAL(109,Table13[[ Aug ]])</f>
        <v>0</v>
      </c>
      <c r="K165" s="53">
        <f>SUBTOTAL(109,Table13[[ Sep ]])</f>
        <v>0</v>
      </c>
      <c r="L165" s="53">
        <f>SUBTOTAL(109,Table13[[ Oct ]])</f>
        <v>0</v>
      </c>
      <c r="M165" s="53">
        <f>SUBTOTAL(109,Table13[[ Nov ]])</f>
        <v>0</v>
      </c>
      <c r="N165" s="53">
        <f>SUBTOTAL(109,Table13[[ Dec ]])</f>
        <v>0</v>
      </c>
      <c r="O165" s="27">
        <f>SUBTOTAL(109,Table13[[ Total ]])</f>
        <v>0</v>
      </c>
      <c r="P165" s="27">
        <f>SUBTOTAL(109,Table13[[ Avg ]])</f>
        <v>0</v>
      </c>
    </row>
    <row r="166" spans="2:16" ht="14.4" x14ac:dyDescent="0.3">
      <c r="B166" s="33" t="s">
        <v>40</v>
      </c>
      <c r="C166" s="34" t="str">
        <f>IFERROR(Table13[[#Totals],[ Jan ]]/C$8, "")</f>
        <v/>
      </c>
      <c r="D166" s="34" t="str">
        <f>IFERROR(Table13[[#Totals],[ Feb ]]/D$8, "")</f>
        <v/>
      </c>
      <c r="E166" s="34" t="str">
        <f>IFERROR(Table13[[#Totals],[ Mar ]]/E$8, "")</f>
        <v/>
      </c>
      <c r="F166" s="34" t="str">
        <f>IFERROR(Table13[[#Totals],[ Apr ]]/F$8, "")</f>
        <v/>
      </c>
      <c r="G166" s="34" t="str">
        <f>IFERROR(Table13[[#Totals],[ May ]]/G$8, "")</f>
        <v/>
      </c>
      <c r="H166" s="34" t="str">
        <f>IFERROR(Table13[[#Totals],[ Jun ]]/H$8, "")</f>
        <v/>
      </c>
      <c r="I166" s="34" t="str">
        <f>IFERROR(Table13[[#Totals],[ Jul ]]/I$8, "")</f>
        <v/>
      </c>
      <c r="J166" s="34" t="str">
        <f>IFERROR(Table13[[#Totals],[ Aug ]]/J$8, "")</f>
        <v/>
      </c>
      <c r="K166" s="34" t="str">
        <f>IFERROR(Table13[[#Totals],[ Sep ]]/K$8, "")</f>
        <v/>
      </c>
      <c r="L166" s="34" t="str">
        <f>IFERROR(Table13[[#Totals],[ Oct ]]/L$8, "")</f>
        <v/>
      </c>
      <c r="M166" s="34" t="str">
        <f>IFERROR(Table13[[#Totals],[ Nov ]]/M$8, "")</f>
        <v/>
      </c>
      <c r="N166" s="34" t="str">
        <f>IFERROR(Table13[[#Totals],[ Dec ]]/N$8, "")</f>
        <v/>
      </c>
      <c r="O166" s="34" t="str">
        <f>IFERROR(Table13[[#Totals],[ Total ]]/O$8, "")</f>
        <v/>
      </c>
      <c r="P166" s="34" t="str">
        <f>IFERROR(Table13[[#Totals],[ Avg ]]/P$8, "")</f>
        <v/>
      </c>
    </row>
    <row r="167" spans="2:16" ht="14.4" x14ac:dyDescent="0.3">
      <c r="B167" s="28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8"/>
      <c r="P167" s="35"/>
    </row>
    <row r="168" spans="2:16" ht="14.4" x14ac:dyDescent="0.3">
      <c r="B168" s="30" t="s">
        <v>116</v>
      </c>
      <c r="C168" s="31" t="s">
        <v>134</v>
      </c>
      <c r="D168" s="31" t="s">
        <v>135</v>
      </c>
      <c r="E168" s="31" t="s">
        <v>136</v>
      </c>
      <c r="F168" s="31" t="s">
        <v>137</v>
      </c>
      <c r="G168" s="31" t="s">
        <v>138</v>
      </c>
      <c r="H168" s="31" t="s">
        <v>139</v>
      </c>
      <c r="I168" s="31" t="s">
        <v>140</v>
      </c>
      <c r="J168" s="31" t="s">
        <v>141</v>
      </c>
      <c r="K168" s="31" t="s">
        <v>142</v>
      </c>
      <c r="L168" s="31" t="s">
        <v>143</v>
      </c>
      <c r="M168" s="31" t="s">
        <v>144</v>
      </c>
      <c r="N168" s="31" t="s">
        <v>145</v>
      </c>
      <c r="O168" s="31" t="s">
        <v>25</v>
      </c>
      <c r="P168" s="31" t="s">
        <v>26</v>
      </c>
    </row>
    <row r="169" spans="2:16" ht="14.4" x14ac:dyDescent="0.3">
      <c r="B169" s="32" t="s">
        <v>117</v>
      </c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7">
        <f>SUM(C169:N169)</f>
        <v>0</v>
      </c>
      <c r="P169" s="27">
        <f>O169/COLUMNS(C169:N169)</f>
        <v>0</v>
      </c>
    </row>
    <row r="170" spans="2:16" ht="14.4" x14ac:dyDescent="0.3">
      <c r="B170" s="32" t="s">
        <v>65</v>
      </c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7">
        <f t="shared" ref="O170:O172" si="30">SUM(C170:N170)</f>
        <v>0</v>
      </c>
      <c r="P170" s="27">
        <f t="shared" ref="P170:P172" si="31">O170/COLUMNS(C170:N170)</f>
        <v>0</v>
      </c>
    </row>
    <row r="171" spans="2:16" ht="14.4" x14ac:dyDescent="0.3">
      <c r="B171" s="32" t="s">
        <v>118</v>
      </c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7">
        <f t="shared" si="30"/>
        <v>0</v>
      </c>
      <c r="P171" s="27">
        <f t="shared" si="31"/>
        <v>0</v>
      </c>
    </row>
    <row r="172" spans="2:16" ht="14.4" x14ac:dyDescent="0.3">
      <c r="B172" s="32" t="s">
        <v>32</v>
      </c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7">
        <f t="shared" si="30"/>
        <v>0</v>
      </c>
      <c r="P172" s="27">
        <f t="shared" si="31"/>
        <v>0</v>
      </c>
    </row>
    <row r="173" spans="2:16" ht="15" customHeight="1" x14ac:dyDescent="0.3">
      <c r="B173" s="54" t="str">
        <f>"Total "&amp;Table14[[#Headers],[PETS]]</f>
        <v>Total PETS</v>
      </c>
      <c r="C173" s="53">
        <f>SUBTOTAL(109,Table14[[ Jan ]])</f>
        <v>0</v>
      </c>
      <c r="D173" s="53">
        <f>SUBTOTAL(109,Table14[[ Feb ]])</f>
        <v>0</v>
      </c>
      <c r="E173" s="53">
        <f>SUBTOTAL(109,Table14[[ Mar ]])</f>
        <v>0</v>
      </c>
      <c r="F173" s="53">
        <f>SUBTOTAL(109,Table14[[ Apr ]])</f>
        <v>0</v>
      </c>
      <c r="G173" s="53">
        <f>SUBTOTAL(109,Table14[[ May ]])</f>
        <v>0</v>
      </c>
      <c r="H173" s="53">
        <f>SUBTOTAL(109,Table14[[ Jun ]])</f>
        <v>0</v>
      </c>
      <c r="I173" s="53">
        <f>SUBTOTAL(109,Table14[[ Jul ]])</f>
        <v>0</v>
      </c>
      <c r="J173" s="53">
        <f>SUBTOTAL(109,Table14[[ Aug ]])</f>
        <v>0</v>
      </c>
      <c r="K173" s="53">
        <f>SUBTOTAL(109,Table14[[ Sep ]])</f>
        <v>0</v>
      </c>
      <c r="L173" s="53">
        <f>SUBTOTAL(109,Table14[[ Oct ]])</f>
        <v>0</v>
      </c>
      <c r="M173" s="53">
        <f>SUBTOTAL(109,Table14[[ Nov ]])</f>
        <v>0</v>
      </c>
      <c r="N173" s="53">
        <f>SUBTOTAL(109,Table14[[ Dec ]])</f>
        <v>0</v>
      </c>
      <c r="O173" s="27">
        <f>SUBTOTAL(109,Table14[[ Total ]])</f>
        <v>0</v>
      </c>
      <c r="P173" s="27">
        <f>SUBTOTAL(109,Table14[[ Avg ]])</f>
        <v>0</v>
      </c>
    </row>
    <row r="174" spans="2:16" ht="14.4" x14ac:dyDescent="0.3">
      <c r="B174" s="33" t="s">
        <v>40</v>
      </c>
      <c r="C174" s="34" t="str">
        <f>IFERROR(Table14[[#Totals],[ Jan ]]/C$8, "")</f>
        <v/>
      </c>
      <c r="D174" s="34" t="str">
        <f>IFERROR(Table14[[#Totals],[ Feb ]]/D$8, "")</f>
        <v/>
      </c>
      <c r="E174" s="34" t="str">
        <f>IFERROR(Table14[[#Totals],[ Mar ]]/E$8, "")</f>
        <v/>
      </c>
      <c r="F174" s="34" t="str">
        <f>IFERROR(Table14[[#Totals],[ Apr ]]/F$8, "")</f>
        <v/>
      </c>
      <c r="G174" s="34" t="str">
        <f>IFERROR(Table14[[#Totals],[ May ]]/G$8, "")</f>
        <v/>
      </c>
      <c r="H174" s="34" t="str">
        <f>IFERROR(Table14[[#Totals],[ Jun ]]/H$8, "")</f>
        <v/>
      </c>
      <c r="I174" s="34" t="str">
        <f>IFERROR(Table14[[#Totals],[ Jul ]]/I$8, "")</f>
        <v/>
      </c>
      <c r="J174" s="34" t="str">
        <f>IFERROR(Table14[[#Totals],[ Aug ]]/J$8, "")</f>
        <v/>
      </c>
      <c r="K174" s="34" t="str">
        <f>IFERROR(Table14[[#Totals],[ Sep ]]/K$8, "")</f>
        <v/>
      </c>
      <c r="L174" s="34" t="str">
        <f>IFERROR(Table14[[#Totals],[ Oct ]]/L$8, "")</f>
        <v/>
      </c>
      <c r="M174" s="34" t="str">
        <f>IFERROR(Table14[[#Totals],[ Nov ]]/M$8, "")</f>
        <v/>
      </c>
      <c r="N174" s="34" t="str">
        <f>IFERROR(Table14[[#Totals],[ Dec ]]/N$8, "")</f>
        <v/>
      </c>
      <c r="O174" s="34" t="str">
        <f>IFERROR(Table14[[#Totals],[ Total ]]/O$8, "")</f>
        <v/>
      </c>
      <c r="P174" s="34" t="str">
        <f>IFERROR(Table14[[#Totals],[ Avg ]]/P$8, "")</f>
        <v/>
      </c>
    </row>
    <row r="175" spans="2:16" ht="14.4" x14ac:dyDescent="0.3">
      <c r="B175" s="28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</row>
    <row r="176" spans="2:16" ht="14.4" x14ac:dyDescent="0.3">
      <c r="B176" s="30" t="s">
        <v>119</v>
      </c>
      <c r="C176" s="31" t="s">
        <v>134</v>
      </c>
      <c r="D176" s="31" t="s">
        <v>135</v>
      </c>
      <c r="E176" s="31" t="s">
        <v>136</v>
      </c>
      <c r="F176" s="31" t="s">
        <v>137</v>
      </c>
      <c r="G176" s="31" t="s">
        <v>138</v>
      </c>
      <c r="H176" s="31" t="s">
        <v>139</v>
      </c>
      <c r="I176" s="31" t="s">
        <v>140</v>
      </c>
      <c r="J176" s="31" t="s">
        <v>141</v>
      </c>
      <c r="K176" s="31" t="s">
        <v>142</v>
      </c>
      <c r="L176" s="31" t="s">
        <v>143</v>
      </c>
      <c r="M176" s="31" t="s">
        <v>144</v>
      </c>
      <c r="N176" s="31" t="s">
        <v>145</v>
      </c>
      <c r="O176" s="31" t="s">
        <v>25</v>
      </c>
      <c r="P176" s="31" t="s">
        <v>26</v>
      </c>
    </row>
    <row r="177" spans="2:16" ht="14.4" x14ac:dyDescent="0.3">
      <c r="B177" s="32" t="s">
        <v>120</v>
      </c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7">
        <f t="shared" ref="O177" si="32">SUM(C177:N177)</f>
        <v>0</v>
      </c>
      <c r="P177" s="27">
        <f t="shared" ref="P177:P181" si="33">O177/COLUMNS(C177:N177)</f>
        <v>0</v>
      </c>
    </row>
    <row r="178" spans="2:16" ht="14.4" x14ac:dyDescent="0.3">
      <c r="B178" s="32" t="s">
        <v>121</v>
      </c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7">
        <f t="shared" ref="O178:O181" si="34">SUM(C178:N178)</f>
        <v>0</v>
      </c>
      <c r="P178" s="27">
        <f t="shared" si="33"/>
        <v>0</v>
      </c>
    </row>
    <row r="179" spans="2:16" ht="14.4" x14ac:dyDescent="0.3">
      <c r="B179" s="32" t="s">
        <v>122</v>
      </c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7">
        <f t="shared" si="34"/>
        <v>0</v>
      </c>
      <c r="P179" s="27">
        <f t="shared" si="33"/>
        <v>0</v>
      </c>
    </row>
    <row r="180" spans="2:16" ht="14.4" x14ac:dyDescent="0.3">
      <c r="B180" s="32" t="s">
        <v>123</v>
      </c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7">
        <f t="shared" si="34"/>
        <v>0</v>
      </c>
      <c r="P180" s="27">
        <f t="shared" si="33"/>
        <v>0</v>
      </c>
    </row>
    <row r="181" spans="2:16" ht="14.4" x14ac:dyDescent="0.3">
      <c r="B181" s="32" t="s">
        <v>32</v>
      </c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7">
        <f t="shared" si="34"/>
        <v>0</v>
      </c>
      <c r="P181" s="27">
        <f t="shared" si="33"/>
        <v>0</v>
      </c>
    </row>
    <row r="182" spans="2:16" ht="14.4" x14ac:dyDescent="0.3">
      <c r="B182" s="54" t="str">
        <f>"Total "&amp;Table15[[#Headers],[SUBSCRIPTIONS]]</f>
        <v>Total SUBSCRIPTIONS</v>
      </c>
      <c r="C182" s="53">
        <f>SUBTOTAL(109,Table15[[ Jan ]])</f>
        <v>0</v>
      </c>
      <c r="D182" s="53">
        <f>SUBTOTAL(109,Table15[[ Feb ]])</f>
        <v>0</v>
      </c>
      <c r="E182" s="53">
        <f>SUBTOTAL(109,Table15[[ Mar ]])</f>
        <v>0</v>
      </c>
      <c r="F182" s="53">
        <f>SUBTOTAL(109,Table15[[ Apr ]])</f>
        <v>0</v>
      </c>
      <c r="G182" s="53">
        <f>SUBTOTAL(109,Table15[[ May ]])</f>
        <v>0</v>
      </c>
      <c r="H182" s="53">
        <f>SUBTOTAL(109,Table15[[ Jun ]])</f>
        <v>0</v>
      </c>
      <c r="I182" s="53">
        <f>SUBTOTAL(109,Table15[[ Jul ]])</f>
        <v>0</v>
      </c>
      <c r="J182" s="53">
        <f>SUBTOTAL(109,Table15[[ Aug ]])</f>
        <v>0</v>
      </c>
      <c r="K182" s="53">
        <f>SUBTOTAL(109,Table15[[ Sep ]])</f>
        <v>0</v>
      </c>
      <c r="L182" s="53">
        <f>SUBTOTAL(109,Table15[[ Oct ]])</f>
        <v>0</v>
      </c>
      <c r="M182" s="53">
        <f>SUBTOTAL(109,Table15[[ Nov ]])</f>
        <v>0</v>
      </c>
      <c r="N182" s="53">
        <f>SUBTOTAL(109,Table15[[ Dec ]])</f>
        <v>0</v>
      </c>
      <c r="O182" s="27">
        <f>SUBTOTAL(109,Table15[[ Total ]])</f>
        <v>0</v>
      </c>
      <c r="P182" s="27">
        <f>SUBTOTAL(109,Table15[[ Avg ]])</f>
        <v>0</v>
      </c>
    </row>
    <row r="183" spans="2:16" ht="14.4" x14ac:dyDescent="0.3">
      <c r="B183" s="33" t="s">
        <v>40</v>
      </c>
      <c r="C183" s="34" t="str">
        <f>IFERROR(Table15[[#Totals],[ Jan ]]/C$8, "")</f>
        <v/>
      </c>
      <c r="D183" s="34" t="str">
        <f>IFERROR(Table15[[#Totals],[ Feb ]]/D$8, "")</f>
        <v/>
      </c>
      <c r="E183" s="34" t="str">
        <f>IFERROR(Table15[[#Totals],[ Mar ]]/E$8, "")</f>
        <v/>
      </c>
      <c r="F183" s="34" t="str">
        <f>IFERROR(Table15[[#Totals],[ Apr ]]/F$8, "")</f>
        <v/>
      </c>
      <c r="G183" s="34" t="str">
        <f>IFERROR(Table15[[#Totals],[ May ]]/G$8, "")</f>
        <v/>
      </c>
      <c r="H183" s="34" t="str">
        <f>IFERROR(Table15[[#Totals],[ Jun ]]/H$8, "")</f>
        <v/>
      </c>
      <c r="I183" s="34" t="str">
        <f>IFERROR(Table15[[#Totals],[ Jul ]]/I$8, "")</f>
        <v/>
      </c>
      <c r="J183" s="34" t="str">
        <f>IFERROR(Table15[[#Totals],[ Aug ]]/J$8, "")</f>
        <v/>
      </c>
      <c r="K183" s="34" t="str">
        <f>IFERROR(Table15[[#Totals],[ Sep ]]/K$8, "")</f>
        <v/>
      </c>
      <c r="L183" s="34" t="str">
        <f>IFERROR(Table15[[#Totals],[ Oct ]]/L$8, "")</f>
        <v/>
      </c>
      <c r="M183" s="34" t="str">
        <f>IFERROR(Table15[[#Totals],[ Nov ]]/M$8, "")</f>
        <v/>
      </c>
      <c r="N183" s="34" t="str">
        <f>IFERROR(Table15[[#Totals],[ Dec ]]/N$8, "")</f>
        <v/>
      </c>
      <c r="O183" s="34" t="str">
        <f>IFERROR(Table15[[#Totals],[ Total ]]/O$8, "")</f>
        <v/>
      </c>
      <c r="P183" s="34" t="str">
        <f>IFERROR(Table15[[#Totals],[ Avg ]]/P$8, "")</f>
        <v/>
      </c>
    </row>
    <row r="184" spans="2:16" ht="14.4" x14ac:dyDescent="0.3">
      <c r="B184" s="39" t="s">
        <v>2</v>
      </c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</row>
    <row r="185" spans="2:16" ht="14.4" x14ac:dyDescent="0.3">
      <c r="B185" s="30" t="s">
        <v>124</v>
      </c>
      <c r="C185" s="31" t="s">
        <v>134</v>
      </c>
      <c r="D185" s="31" t="s">
        <v>135</v>
      </c>
      <c r="E185" s="31" t="s">
        <v>136</v>
      </c>
      <c r="F185" s="31" t="s">
        <v>137</v>
      </c>
      <c r="G185" s="31" t="s">
        <v>138</v>
      </c>
      <c r="H185" s="31" t="s">
        <v>139</v>
      </c>
      <c r="I185" s="31" t="s">
        <v>140</v>
      </c>
      <c r="J185" s="31" t="s">
        <v>141</v>
      </c>
      <c r="K185" s="31" t="s">
        <v>142</v>
      </c>
      <c r="L185" s="31" t="s">
        <v>143</v>
      </c>
      <c r="M185" s="31" t="s">
        <v>144</v>
      </c>
      <c r="N185" s="31" t="s">
        <v>145</v>
      </c>
      <c r="O185" s="31" t="s">
        <v>25</v>
      </c>
      <c r="P185" s="31" t="s">
        <v>26</v>
      </c>
    </row>
    <row r="186" spans="2:16" ht="14.4" x14ac:dyDescent="0.3">
      <c r="B186" s="32" t="s">
        <v>125</v>
      </c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7">
        <f>SUM(C186:N186)</f>
        <v>0</v>
      </c>
      <c r="P186" s="27">
        <f t="shared" ref="P186:P191" si="35">O186/COLUMNS(C186:N186)</f>
        <v>0</v>
      </c>
    </row>
    <row r="187" spans="2:16" ht="14.4" x14ac:dyDescent="0.3">
      <c r="B187" s="32" t="s">
        <v>126</v>
      </c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7">
        <f t="shared" ref="O187:O191" si="36">SUM(C187:N187)</f>
        <v>0</v>
      </c>
      <c r="P187" s="27">
        <f t="shared" si="35"/>
        <v>0</v>
      </c>
    </row>
    <row r="188" spans="2:16" ht="14.4" x14ac:dyDescent="0.3">
      <c r="B188" s="32" t="s">
        <v>117</v>
      </c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7">
        <f t="shared" si="36"/>
        <v>0</v>
      </c>
      <c r="P188" s="27">
        <f t="shared" si="35"/>
        <v>0</v>
      </c>
    </row>
    <row r="189" spans="2:16" ht="14.4" x14ac:dyDescent="0.3">
      <c r="B189" s="32" t="s">
        <v>127</v>
      </c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7">
        <f t="shared" si="36"/>
        <v>0</v>
      </c>
      <c r="P189" s="27">
        <f t="shared" si="35"/>
        <v>0</v>
      </c>
    </row>
    <row r="190" spans="2:16" ht="14.4" x14ac:dyDescent="0.3">
      <c r="B190" s="32" t="s">
        <v>128</v>
      </c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7">
        <f t="shared" si="36"/>
        <v>0</v>
      </c>
      <c r="P190" s="27">
        <f t="shared" si="35"/>
        <v>0</v>
      </c>
    </row>
    <row r="191" spans="2:16" ht="14.4" x14ac:dyDescent="0.3">
      <c r="B191" s="32" t="s">
        <v>32</v>
      </c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7">
        <f t="shared" si="36"/>
        <v>0</v>
      </c>
      <c r="P191" s="27">
        <f t="shared" si="35"/>
        <v>0</v>
      </c>
    </row>
    <row r="192" spans="2:16" ht="14.4" x14ac:dyDescent="0.3">
      <c r="B192" s="54" t="str">
        <f>"Total "&amp;Table16[[#Headers],[VACATION]]</f>
        <v>Total VACATION</v>
      </c>
      <c r="C192" s="53">
        <f>SUBTOTAL(109,Table16[[ Jan ]])</f>
        <v>0</v>
      </c>
      <c r="D192" s="53">
        <f>SUBTOTAL(109,Table16[[ Feb ]])</f>
        <v>0</v>
      </c>
      <c r="E192" s="53">
        <f>SUBTOTAL(109,Table16[[ Mar ]])</f>
        <v>0</v>
      </c>
      <c r="F192" s="53">
        <f>SUBTOTAL(109,Table16[[ Apr ]])</f>
        <v>0</v>
      </c>
      <c r="G192" s="53">
        <f>SUBTOTAL(109,Table16[[ May ]])</f>
        <v>0</v>
      </c>
      <c r="H192" s="53">
        <f>SUBTOTAL(109,Table16[[ Jun ]])</f>
        <v>0</v>
      </c>
      <c r="I192" s="53">
        <f>SUBTOTAL(109,Table16[[ Jul ]])</f>
        <v>0</v>
      </c>
      <c r="J192" s="53">
        <f>SUBTOTAL(109,Table16[[ Aug ]])</f>
        <v>0</v>
      </c>
      <c r="K192" s="53">
        <f>SUBTOTAL(109,Table16[[ Sep ]])</f>
        <v>0</v>
      </c>
      <c r="L192" s="53">
        <f>SUBTOTAL(109,Table16[[ Oct ]])</f>
        <v>0</v>
      </c>
      <c r="M192" s="53">
        <f>SUBTOTAL(109,Table16[[ Nov ]])</f>
        <v>0</v>
      </c>
      <c r="N192" s="53">
        <f>SUBTOTAL(109,Table16[[ Dec ]])</f>
        <v>0</v>
      </c>
      <c r="O192" s="27">
        <f>SUBTOTAL(109,Table16[[ Total ]])</f>
        <v>0</v>
      </c>
      <c r="P192" s="27">
        <f>SUBTOTAL(109,Table16[[ Avg ]])</f>
        <v>0</v>
      </c>
    </row>
    <row r="193" spans="2:16" ht="14.4" x14ac:dyDescent="0.3">
      <c r="B193" s="33" t="s">
        <v>40</v>
      </c>
      <c r="C193" s="34" t="str">
        <f>IFERROR(Table16[[#Totals],[ Jan ]]/C$8, "")</f>
        <v/>
      </c>
      <c r="D193" s="34" t="str">
        <f>IFERROR(Table16[[#Totals],[ Feb ]]/D$8, "")</f>
        <v/>
      </c>
      <c r="E193" s="34" t="str">
        <f>IFERROR(Table16[[#Totals],[ Mar ]]/E$8, "")</f>
        <v/>
      </c>
      <c r="F193" s="34" t="str">
        <f>IFERROR(Table16[[#Totals],[ Apr ]]/F$8, "")</f>
        <v/>
      </c>
      <c r="G193" s="34" t="str">
        <f>IFERROR(Table16[[#Totals],[ May ]]/G$8, "")</f>
        <v/>
      </c>
      <c r="H193" s="34" t="str">
        <f>IFERROR(Table16[[#Totals],[ Jun ]]/H$8, "")</f>
        <v/>
      </c>
      <c r="I193" s="34" t="str">
        <f>IFERROR(Table16[[#Totals],[ Jul ]]/I$8, "")</f>
        <v/>
      </c>
      <c r="J193" s="34" t="str">
        <f>IFERROR(Table16[[#Totals],[ Aug ]]/J$8, "")</f>
        <v/>
      </c>
      <c r="K193" s="34" t="str">
        <f>IFERROR(Table16[[#Totals],[ Sep ]]/K$8, "")</f>
        <v/>
      </c>
      <c r="L193" s="34" t="str">
        <f>IFERROR(Table16[[#Totals],[ Oct ]]/L$8, "")</f>
        <v/>
      </c>
      <c r="M193" s="34" t="str">
        <f>IFERROR(Table16[[#Totals],[ Nov ]]/M$8, "")</f>
        <v/>
      </c>
      <c r="N193" s="34" t="str">
        <f>IFERROR(Table16[[#Totals],[ Dec ]]/N$8, "")</f>
        <v/>
      </c>
      <c r="O193" s="34" t="str">
        <f>IFERROR(Table16[[#Totals],[ Total ]]/O$8, "")</f>
        <v/>
      </c>
      <c r="P193" s="34" t="str">
        <f>IFERROR(Table16[[#Totals],[ Avg ]]/P$8, "")</f>
        <v/>
      </c>
    </row>
    <row r="194" spans="2:16" ht="14.4" x14ac:dyDescent="0.3">
      <c r="B194" s="40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</row>
    <row r="195" spans="2:16" ht="14.4" x14ac:dyDescent="0.3">
      <c r="B195" s="30" t="s">
        <v>129</v>
      </c>
      <c r="C195" s="31" t="s">
        <v>134</v>
      </c>
      <c r="D195" s="31" t="s">
        <v>135</v>
      </c>
      <c r="E195" s="31" t="s">
        <v>136</v>
      </c>
      <c r="F195" s="31" t="s">
        <v>137</v>
      </c>
      <c r="G195" s="31" t="s">
        <v>138</v>
      </c>
      <c r="H195" s="31" t="s">
        <v>139</v>
      </c>
      <c r="I195" s="31" t="s">
        <v>140</v>
      </c>
      <c r="J195" s="31" t="s">
        <v>141</v>
      </c>
      <c r="K195" s="31" t="s">
        <v>142</v>
      </c>
      <c r="L195" s="31" t="s">
        <v>143</v>
      </c>
      <c r="M195" s="31" t="s">
        <v>144</v>
      </c>
      <c r="N195" s="31" t="s">
        <v>145</v>
      </c>
      <c r="O195" s="31" t="s">
        <v>25</v>
      </c>
      <c r="P195" s="31" t="s">
        <v>26</v>
      </c>
    </row>
    <row r="196" spans="2:16" ht="14.4" x14ac:dyDescent="0.3">
      <c r="B196" s="32" t="s">
        <v>130</v>
      </c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7">
        <f t="shared" ref="O196" si="37">SUM(C196:N196)</f>
        <v>0</v>
      </c>
      <c r="P196" s="27">
        <f t="shared" ref="P196:P200" si="38">O196/COLUMNS(C196:N196)</f>
        <v>0</v>
      </c>
    </row>
    <row r="197" spans="2:16" ht="14.4" x14ac:dyDescent="0.3">
      <c r="B197" s="32" t="s">
        <v>131</v>
      </c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7">
        <f t="shared" ref="O197:O200" si="39">SUM(C197:N197)</f>
        <v>0</v>
      </c>
      <c r="P197" s="27">
        <f t="shared" si="38"/>
        <v>0</v>
      </c>
    </row>
    <row r="198" spans="2:16" ht="14.4" x14ac:dyDescent="0.3">
      <c r="B198" s="32" t="s">
        <v>32</v>
      </c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7">
        <f t="shared" si="39"/>
        <v>0</v>
      </c>
      <c r="P198" s="27">
        <f t="shared" si="38"/>
        <v>0</v>
      </c>
    </row>
    <row r="199" spans="2:16" ht="14.4" x14ac:dyDescent="0.3">
      <c r="B199" s="32" t="s">
        <v>32</v>
      </c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7">
        <f t="shared" si="39"/>
        <v>0</v>
      </c>
      <c r="P199" s="27">
        <f t="shared" si="38"/>
        <v>0</v>
      </c>
    </row>
    <row r="200" spans="2:16" ht="14.4" x14ac:dyDescent="0.3">
      <c r="B200" s="32" t="s">
        <v>32</v>
      </c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7">
        <f t="shared" si="39"/>
        <v>0</v>
      </c>
      <c r="P200" s="27">
        <f t="shared" si="38"/>
        <v>0</v>
      </c>
    </row>
    <row r="201" spans="2:16" ht="14.4" x14ac:dyDescent="0.3">
      <c r="B201" s="54" t="str">
        <f>"Total "&amp;Table17[[#Headers],[MISCELLANEOUS]]</f>
        <v>Total MISCELLANEOUS</v>
      </c>
      <c r="C201" s="53">
        <f>SUBTOTAL(109,Table17[[ Jan ]])</f>
        <v>0</v>
      </c>
      <c r="D201" s="53">
        <f>SUBTOTAL(109,Table17[[ Feb ]])</f>
        <v>0</v>
      </c>
      <c r="E201" s="53">
        <f>SUBTOTAL(109,Table17[[ Mar ]])</f>
        <v>0</v>
      </c>
      <c r="F201" s="53">
        <f>SUBTOTAL(109,Table17[[ Apr ]])</f>
        <v>0</v>
      </c>
      <c r="G201" s="53">
        <f>SUBTOTAL(109,Table17[[ May ]])</f>
        <v>0</v>
      </c>
      <c r="H201" s="53">
        <f>SUBTOTAL(109,Table17[[ Jun ]])</f>
        <v>0</v>
      </c>
      <c r="I201" s="53">
        <f>SUBTOTAL(109,Table17[[ Jul ]])</f>
        <v>0</v>
      </c>
      <c r="J201" s="53">
        <f>SUBTOTAL(109,Table17[[ Aug ]])</f>
        <v>0</v>
      </c>
      <c r="K201" s="53">
        <f>SUBTOTAL(109,Table17[[ Sep ]])</f>
        <v>0</v>
      </c>
      <c r="L201" s="53">
        <f>SUBTOTAL(109,Table17[[ Oct ]])</f>
        <v>0</v>
      </c>
      <c r="M201" s="53">
        <f>SUBTOTAL(109,Table17[[ Nov ]])</f>
        <v>0</v>
      </c>
      <c r="N201" s="53">
        <f>SUBTOTAL(109,Table17[[ Dec ]])</f>
        <v>0</v>
      </c>
      <c r="O201" s="27">
        <f>SUBTOTAL(109,Table17[[ Total ]])</f>
        <v>0</v>
      </c>
      <c r="P201" s="27">
        <f>SUBTOTAL(109,Table17[[ Avg ]])</f>
        <v>0</v>
      </c>
    </row>
    <row r="202" spans="2:16" ht="14.4" x14ac:dyDescent="0.3">
      <c r="B202" s="33" t="s">
        <v>40</v>
      </c>
      <c r="C202" s="34" t="str">
        <f>IFERROR(Table17[[#Totals],[ Jan ]]/C$8, "")</f>
        <v/>
      </c>
      <c r="D202" s="34" t="str">
        <f>IFERROR(Table17[[#Totals],[ Feb ]]/D$8, "")</f>
        <v/>
      </c>
      <c r="E202" s="34" t="str">
        <f>IFERROR(Table17[[#Totals],[ Mar ]]/E$8, "")</f>
        <v/>
      </c>
      <c r="F202" s="34" t="str">
        <f>IFERROR(Table17[[#Totals],[ Apr ]]/F$8, "")</f>
        <v/>
      </c>
      <c r="G202" s="34" t="str">
        <f>IFERROR(Table17[[#Totals],[ May ]]/G$8, "")</f>
        <v/>
      </c>
      <c r="H202" s="34" t="str">
        <f>IFERROR(Table17[[#Totals],[ Jun ]]/H$8, "")</f>
        <v/>
      </c>
      <c r="I202" s="34" t="str">
        <f>IFERROR(Table17[[#Totals],[ Jul ]]/I$8, "")</f>
        <v/>
      </c>
      <c r="J202" s="34" t="str">
        <f>IFERROR(Table17[[#Totals],[ Aug ]]/J$8, "")</f>
        <v/>
      </c>
      <c r="K202" s="34" t="str">
        <f>IFERROR(Table17[[#Totals],[ Sep ]]/K$8, "")</f>
        <v/>
      </c>
      <c r="L202" s="34" t="str">
        <f>IFERROR(Table17[[#Totals],[ Oct ]]/L$8, "")</f>
        <v/>
      </c>
      <c r="M202" s="34" t="str">
        <f>IFERROR(Table17[[#Totals],[ Nov ]]/M$8, "")</f>
        <v/>
      </c>
      <c r="N202" s="34" t="str">
        <f>IFERROR(Table17[[#Totals],[ Dec ]]/N$8, "")</f>
        <v/>
      </c>
      <c r="O202" s="34" t="str">
        <f>IFERROR(Table17[[#Totals],[ Total ]]/O$8, "")</f>
        <v/>
      </c>
      <c r="P202" s="34" t="str">
        <f>IFERROR(Table17[[#Totals],[ Avg ]]/P$8, "")</f>
        <v/>
      </c>
    </row>
  </sheetData>
  <mergeCells count="1">
    <mergeCell ref="B1:P1"/>
  </mergeCells>
  <pageMargins left="0.7" right="0.7" top="0.75" bottom="0.75" header="0.3" footer="0.3"/>
  <drawing r:id="rId1"/>
  <tableParts count="1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Turboszkolenia.pl; Rafal Halasa</dc:creator>
  <cp:lastModifiedBy>Rafał Hałasa</cp:lastModifiedBy>
  <dcterms:created xsi:type="dcterms:W3CDTF">2015-06-05T18:17:20Z</dcterms:created>
  <dcterms:modified xsi:type="dcterms:W3CDTF">2026-01-04T15:51:00Z</dcterms:modified>
</cp:coreProperties>
</file>